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bacic\Documents\Plan\PLAN 2020-2022\"/>
    </mc:Choice>
  </mc:AlternateContent>
  <workbookProtection workbookPassword="DE31" lockStructure="1"/>
  <bookViews>
    <workbookView xWindow="0" yWindow="0" windowWidth="21570" windowHeight="745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14" i="25"/>
  <c r="F15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3" i="13"/>
  <c r="P101" i="13"/>
  <c r="P99" i="13"/>
  <c r="P96" i="13"/>
  <c r="P94" i="13"/>
  <c r="P92" i="13"/>
  <c r="P90" i="13"/>
  <c r="P88" i="13"/>
  <c r="P86" i="13"/>
  <c r="P84" i="13"/>
  <c r="P70" i="13"/>
  <c r="P67" i="13"/>
  <c r="P65" i="13"/>
  <c r="P63" i="13"/>
  <c r="P60" i="13"/>
  <c r="P58" i="13"/>
  <c r="P56" i="13"/>
  <c r="P54" i="13"/>
  <c r="P52" i="13"/>
  <c r="P50" i="13"/>
  <c r="P48" i="13"/>
  <c r="P35" i="13"/>
  <c r="P32" i="13"/>
  <c r="P30" i="13"/>
  <c r="P28" i="13"/>
  <c r="P25" i="13"/>
  <c r="P23" i="13"/>
  <c r="P21" i="13"/>
  <c r="P19" i="13"/>
  <c r="P17" i="13"/>
  <c r="P15" i="13"/>
  <c r="P13" i="13"/>
  <c r="P11" i="13"/>
  <c r="P95" i="13"/>
  <c r="P89" i="13"/>
  <c r="P85" i="13"/>
  <c r="P68" i="13"/>
  <c r="P66" i="13"/>
  <c r="P61" i="13"/>
  <c r="P57" i="13"/>
  <c r="P53" i="13"/>
  <c r="P51" i="13"/>
  <c r="P47" i="13"/>
  <c r="P31" i="13"/>
  <c r="P27" i="13"/>
  <c r="P24" i="13"/>
  <c r="P20" i="13"/>
  <c r="P16" i="13"/>
  <c r="P12" i="13"/>
  <c r="P104" i="13"/>
  <c r="P102" i="13"/>
  <c r="P100" i="13"/>
  <c r="P97" i="13"/>
  <c r="P93" i="13"/>
  <c r="P91" i="13"/>
  <c r="P87" i="13"/>
  <c r="P83" i="13"/>
  <c r="P64" i="13"/>
  <c r="P59" i="13"/>
  <c r="P55" i="13"/>
  <c r="P49" i="13"/>
  <c r="P34" i="13"/>
  <c r="P29" i="13"/>
  <c r="P22" i="13"/>
  <c r="P18" i="13"/>
  <c r="P1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J108" i="14"/>
  <c r="O107" i="14"/>
  <c r="N107" i="14"/>
  <c r="L107" i="14"/>
  <c r="J107" i="14"/>
  <c r="O105" i="14"/>
  <c r="N105" i="14"/>
  <c r="L105" i="14"/>
  <c r="J105" i="14"/>
  <c r="O104" i="14"/>
  <c r="N104" i="14"/>
  <c r="L104" i="14"/>
  <c r="J104" i="14"/>
  <c r="O103" i="14"/>
  <c r="N103" i="14"/>
  <c r="L103" i="14"/>
  <c r="J103" i="14"/>
  <c r="O102" i="14"/>
  <c r="N102" i="14"/>
  <c r="L102" i="14"/>
  <c r="J102" i="14"/>
  <c r="O101" i="14"/>
  <c r="N101" i="14"/>
  <c r="L101" i="14"/>
  <c r="J101" i="14"/>
  <c r="O99" i="14"/>
  <c r="N99" i="14"/>
  <c r="L99" i="14"/>
  <c r="J99" i="14"/>
  <c r="O98" i="14"/>
  <c r="N98" i="14"/>
  <c r="L98" i="14"/>
  <c r="J98" i="14"/>
  <c r="O97" i="14"/>
  <c r="N97" i="14"/>
  <c r="L97" i="14"/>
  <c r="J97" i="14"/>
  <c r="O96" i="14"/>
  <c r="N96" i="14"/>
  <c r="L96" i="14"/>
  <c r="J96" i="14"/>
  <c r="O95" i="14"/>
  <c r="N95" i="14"/>
  <c r="L95" i="14"/>
  <c r="J95" i="14"/>
  <c r="O94" i="14"/>
  <c r="N94" i="14"/>
  <c r="L94" i="14"/>
  <c r="J94" i="14"/>
  <c r="O93" i="14"/>
  <c r="N93" i="14"/>
  <c r="L93" i="14"/>
  <c r="J93" i="14"/>
  <c r="J81" i="14"/>
  <c r="L81" i="14"/>
  <c r="N81" i="14"/>
  <c r="O81" i="14"/>
  <c r="J82" i="14"/>
  <c r="L82" i="14"/>
  <c r="N82" i="14"/>
  <c r="O82" i="14"/>
  <c r="J83" i="14"/>
  <c r="L83" i="14"/>
  <c r="N83" i="14"/>
  <c r="O83" i="14"/>
  <c r="J84" i="14"/>
  <c r="L84" i="14"/>
  <c r="N84" i="14"/>
  <c r="O84" i="14"/>
  <c r="J85" i="14"/>
  <c r="L85" i="14"/>
  <c r="N85" i="14"/>
  <c r="O85" i="14"/>
  <c r="J87" i="14"/>
  <c r="L87" i="14"/>
  <c r="N87" i="14"/>
  <c r="O87" i="14"/>
  <c r="O88" i="14"/>
  <c r="N88" i="14"/>
  <c r="L88" i="14"/>
  <c r="J88" i="14"/>
  <c r="O79" i="14"/>
  <c r="N79" i="14"/>
  <c r="L79" i="14"/>
  <c r="J79" i="14"/>
  <c r="O78" i="14"/>
  <c r="N78" i="14"/>
  <c r="L78" i="14"/>
  <c r="J78" i="14"/>
  <c r="O77" i="14"/>
  <c r="N77" i="14"/>
  <c r="L77" i="14"/>
  <c r="J77" i="14"/>
  <c r="O76" i="14"/>
  <c r="N76" i="14"/>
  <c r="L76" i="14"/>
  <c r="J76" i="14"/>
  <c r="O75" i="14"/>
  <c r="N75" i="14"/>
  <c r="L75" i="14"/>
  <c r="J75" i="14"/>
  <c r="O74" i="14"/>
  <c r="N74" i="14"/>
  <c r="L74" i="14"/>
  <c r="J74" i="14"/>
  <c r="O73" i="14"/>
  <c r="N73" i="14"/>
  <c r="L73" i="14"/>
  <c r="J73" i="14"/>
  <c r="P86" i="14" l="1"/>
  <c r="L86" i="14"/>
  <c r="O86" i="14"/>
  <c r="N86" i="14"/>
  <c r="J86" i="14"/>
  <c r="O68" i="14"/>
  <c r="N68" i="14"/>
  <c r="L68" i="14"/>
  <c r="J68" i="14"/>
  <c r="O67" i="14"/>
  <c r="N67" i="14"/>
  <c r="L67" i="14"/>
  <c r="J67" i="14"/>
  <c r="O66" i="14"/>
  <c r="N66" i="14"/>
  <c r="L66" i="14"/>
  <c r="J66" i="14"/>
  <c r="O65" i="14"/>
  <c r="N65" i="14"/>
  <c r="L65" i="14"/>
  <c r="J65" i="14"/>
  <c r="O64" i="14"/>
  <c r="N64" i="14"/>
  <c r="L64" i="14"/>
  <c r="J64" i="14"/>
  <c r="O62" i="14"/>
  <c r="N62" i="14"/>
  <c r="L62" i="14"/>
  <c r="J62" i="14"/>
  <c r="O61" i="14"/>
  <c r="N61" i="14"/>
  <c r="L61" i="14"/>
  <c r="J61" i="14"/>
  <c r="O60" i="14"/>
  <c r="N60" i="14"/>
  <c r="L60" i="14"/>
  <c r="J60" i="14"/>
  <c r="O57" i="14"/>
  <c r="N57" i="14"/>
  <c r="L57" i="14"/>
  <c r="J57" i="14"/>
  <c r="O56" i="14"/>
  <c r="N56" i="14"/>
  <c r="L56" i="14"/>
  <c r="J56" i="14"/>
  <c r="O55" i="14"/>
  <c r="N55" i="14"/>
  <c r="L55" i="14"/>
  <c r="J55" i="14"/>
  <c r="O54" i="14"/>
  <c r="N54" i="14"/>
  <c r="L54" i="14"/>
  <c r="J54" i="14"/>
  <c r="O52" i="14"/>
  <c r="N52" i="14"/>
  <c r="L52" i="14"/>
  <c r="J52" i="14"/>
  <c r="O48" i="14"/>
  <c r="N48" i="14"/>
  <c r="L48" i="14"/>
  <c r="J48" i="14"/>
  <c r="O47" i="14"/>
  <c r="N47" i="14"/>
  <c r="L47" i="14"/>
  <c r="J47" i="14"/>
  <c r="O46" i="14"/>
  <c r="N46" i="14"/>
  <c r="L46" i="14"/>
  <c r="J46" i="14"/>
  <c r="O45" i="14"/>
  <c r="N45" i="14"/>
  <c r="L45" i="14"/>
  <c r="J45" i="14"/>
  <c r="O44" i="14"/>
  <c r="N44" i="14"/>
  <c r="L44" i="14"/>
  <c r="J44" i="14"/>
  <c r="O43" i="14"/>
  <c r="N43" i="14"/>
  <c r="L43" i="14"/>
  <c r="J43" i="14"/>
  <c r="O41" i="14"/>
  <c r="N41" i="14"/>
  <c r="L41" i="14"/>
  <c r="J41" i="14"/>
  <c r="O40" i="14"/>
  <c r="N40" i="14"/>
  <c r="L40" i="14"/>
  <c r="J40" i="14"/>
  <c r="J59" i="14" l="1"/>
  <c r="L59" i="14"/>
  <c r="N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J37" i="14"/>
  <c r="O36" i="14"/>
  <c r="N36" i="14"/>
  <c r="L36" i="14"/>
  <c r="J36" i="14"/>
  <c r="O35" i="14"/>
  <c r="N35" i="14"/>
  <c r="L35" i="14"/>
  <c r="J35" i="14"/>
  <c r="O34" i="14"/>
  <c r="N34" i="14"/>
  <c r="L34" i="14"/>
  <c r="J34" i="14"/>
  <c r="O32" i="14"/>
  <c r="N32" i="14"/>
  <c r="L32" i="14"/>
  <c r="J32" i="14"/>
  <c r="O31" i="14"/>
  <c r="N31" i="14"/>
  <c r="L31" i="14"/>
  <c r="J31" i="14"/>
  <c r="O29" i="14"/>
  <c r="N29" i="14"/>
  <c r="L29" i="14"/>
  <c r="J29" i="14"/>
  <c r="O28" i="14"/>
  <c r="N28" i="14"/>
  <c r="L28" i="14"/>
  <c r="J28" i="14"/>
  <c r="O27" i="14"/>
  <c r="N27" i="14"/>
  <c r="L27" i="14"/>
  <c r="J27" i="14"/>
  <c r="O26" i="14"/>
  <c r="N26" i="14"/>
  <c r="L26" i="14"/>
  <c r="J26" i="14"/>
  <c r="O25" i="14"/>
  <c r="N25" i="14"/>
  <c r="L25" i="14"/>
  <c r="J25" i="14"/>
  <c r="O24" i="14"/>
  <c r="N24" i="14"/>
  <c r="L24" i="14"/>
  <c r="J24" i="14"/>
  <c r="O22" i="14"/>
  <c r="N22" i="14"/>
  <c r="L22" i="14"/>
  <c r="J22" i="14"/>
  <c r="O21" i="14"/>
  <c r="N21" i="14"/>
  <c r="L21" i="14"/>
  <c r="J21" i="14"/>
  <c r="O20" i="14"/>
  <c r="N20" i="14"/>
  <c r="L20" i="14"/>
  <c r="J20" i="14"/>
  <c r="O18" i="14"/>
  <c r="N18" i="14"/>
  <c r="L18" i="14"/>
  <c r="J18" i="14"/>
  <c r="O17" i="14"/>
  <c r="N17" i="14"/>
  <c r="L17" i="14"/>
  <c r="J17" i="14"/>
  <c r="O16" i="14"/>
  <c r="N16" i="14"/>
  <c r="L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J14" i="14"/>
  <c r="H14" i="14"/>
  <c r="O13" i="14"/>
  <c r="N13" i="14"/>
  <c r="M13" i="14"/>
  <c r="J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J11" i="14"/>
  <c r="H11" i="14"/>
  <c r="E11" i="14"/>
  <c r="O10" i="14"/>
  <c r="N10" i="14"/>
  <c r="M10" i="14"/>
  <c r="L10" i="14"/>
  <c r="J10" i="14"/>
  <c r="H10" i="14"/>
  <c r="O8" i="14"/>
  <c r="N8" i="14"/>
  <c r="M8" i="14"/>
  <c r="J8" i="14"/>
  <c r="H8" i="14"/>
  <c r="E8" i="14"/>
  <c r="O7" i="14"/>
  <c r="N7" i="14"/>
  <c r="M7" i="14"/>
  <c r="K7" i="14"/>
  <c r="J7" i="14"/>
  <c r="H7" i="14"/>
  <c r="F7" i="14"/>
  <c r="D7" i="14"/>
  <c r="O6" i="14"/>
  <c r="N6" i="14"/>
  <c r="M6" i="14"/>
  <c r="L6" i="14"/>
  <c r="J6" i="14"/>
  <c r="H6" i="14"/>
  <c r="F6" i="14"/>
  <c r="E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36" i="14" l="1"/>
  <c r="E107" i="14"/>
  <c r="E104" i="14"/>
  <c r="E102" i="14"/>
  <c r="E99" i="14"/>
  <c r="E97" i="14"/>
  <c r="E95" i="14"/>
  <c r="E93" i="14"/>
  <c r="E82" i="14"/>
  <c r="E84" i="14"/>
  <c r="E87" i="14"/>
  <c r="E79" i="14"/>
  <c r="E77" i="14"/>
  <c r="E75" i="14"/>
  <c r="E73" i="14"/>
  <c r="E76" i="14"/>
  <c r="E74" i="14"/>
  <c r="E108" i="14"/>
  <c r="E105" i="14"/>
  <c r="E103" i="14"/>
  <c r="E101" i="14"/>
  <c r="E98" i="14"/>
  <c r="E96" i="14"/>
  <c r="E94" i="14"/>
  <c r="E81" i="14"/>
  <c r="E83" i="14"/>
  <c r="E85" i="14"/>
  <c r="E88" i="14"/>
  <c r="E78" i="14"/>
  <c r="E16" i="14"/>
  <c r="E18" i="14"/>
  <c r="E21" i="14"/>
  <c r="E24" i="14"/>
  <c r="E26" i="14"/>
  <c r="E28" i="14"/>
  <c r="E31" i="14"/>
  <c r="E34" i="14"/>
  <c r="E50" i="14"/>
  <c r="E49" i="14" s="1"/>
  <c r="E68" i="14"/>
  <c r="E66" i="14"/>
  <c r="E64" i="14"/>
  <c r="E61" i="14"/>
  <c r="E57" i="14"/>
  <c r="E55" i="14"/>
  <c r="E52" i="14"/>
  <c r="E47" i="14"/>
  <c r="E45" i="14"/>
  <c r="E43" i="14"/>
  <c r="E40" i="14"/>
  <c r="E65" i="14"/>
  <c r="E60" i="14"/>
  <c r="E54" i="14"/>
  <c r="E46" i="14"/>
  <c r="E44" i="14"/>
  <c r="E41" i="14"/>
  <c r="E67" i="14"/>
  <c r="E62" i="14"/>
  <c r="E56" i="14"/>
  <c r="E48" i="14"/>
  <c r="E17" i="14"/>
  <c r="E20" i="14"/>
  <c r="E22" i="14"/>
  <c r="E25" i="14"/>
  <c r="E27" i="14"/>
  <c r="E29" i="14"/>
  <c r="E32" i="14"/>
  <c r="E35" i="14"/>
  <c r="E37" i="14"/>
  <c r="K14" i="14"/>
  <c r="K6" i="14"/>
  <c r="K8" i="14"/>
  <c r="K10" i="14"/>
  <c r="K11" i="14"/>
  <c r="K13" i="14"/>
  <c r="K37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79" i="14"/>
  <c r="K78" i="14"/>
  <c r="K77" i="14"/>
  <c r="K76" i="14"/>
  <c r="K75" i="14"/>
  <c r="K74" i="14"/>
  <c r="K73" i="14"/>
  <c r="K81" i="14"/>
  <c r="K82" i="14"/>
  <c r="K83" i="14"/>
  <c r="K84" i="14"/>
  <c r="K85" i="14"/>
  <c r="K87" i="14"/>
  <c r="K16" i="14"/>
  <c r="K17" i="14"/>
  <c r="K18" i="14"/>
  <c r="K20" i="14"/>
  <c r="K21" i="14"/>
  <c r="K22" i="14"/>
  <c r="K24" i="14"/>
  <c r="K25" i="14"/>
  <c r="K26" i="14"/>
  <c r="K27" i="14"/>
  <c r="K28" i="14"/>
  <c r="K29" i="14"/>
  <c r="K31" i="14"/>
  <c r="K32" i="14"/>
  <c r="K34" i="14"/>
  <c r="K35" i="14"/>
  <c r="K36" i="14"/>
  <c r="K50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48" i="14"/>
  <c r="K47" i="14"/>
  <c r="K46" i="14"/>
  <c r="K45" i="14"/>
  <c r="K44" i="14"/>
  <c r="K43" i="14"/>
  <c r="K41" i="14"/>
  <c r="K40" i="14"/>
  <c r="I10" i="14"/>
  <c r="H37" i="14"/>
  <c r="H17" i="14"/>
  <c r="H20" i="14"/>
  <c r="H22" i="14"/>
  <c r="H25" i="14"/>
  <c r="H27" i="14"/>
  <c r="H29" i="14"/>
  <c r="H32" i="14"/>
  <c r="H35" i="14"/>
  <c r="H50" i="14"/>
  <c r="H68" i="14"/>
  <c r="H66" i="14"/>
  <c r="H64" i="14"/>
  <c r="H61" i="14"/>
  <c r="H57" i="14"/>
  <c r="H55" i="14"/>
  <c r="H52" i="14"/>
  <c r="H47" i="14"/>
  <c r="H45" i="14"/>
  <c r="H43" i="14"/>
  <c r="H40" i="14"/>
  <c r="H67" i="14"/>
  <c r="H65" i="14"/>
  <c r="H62" i="14"/>
  <c r="H60" i="14"/>
  <c r="H56" i="14"/>
  <c r="H54" i="14"/>
  <c r="H48" i="14"/>
  <c r="H46" i="14"/>
  <c r="H44" i="14"/>
  <c r="H41" i="14"/>
  <c r="H16" i="14"/>
  <c r="H18" i="14"/>
  <c r="H21" i="14"/>
  <c r="H24" i="14"/>
  <c r="H26" i="14"/>
  <c r="H28" i="14"/>
  <c r="H31" i="14"/>
  <c r="H34" i="14"/>
  <c r="H36" i="14"/>
  <c r="M107" i="14"/>
  <c r="M104" i="14"/>
  <c r="M102" i="14"/>
  <c r="M99" i="14"/>
  <c r="M97" i="14"/>
  <c r="M95" i="14"/>
  <c r="M93" i="14"/>
  <c r="M82" i="14"/>
  <c r="M84" i="14"/>
  <c r="M87" i="14"/>
  <c r="M79" i="14"/>
  <c r="M77" i="14"/>
  <c r="M75" i="14"/>
  <c r="M73" i="14"/>
  <c r="M108" i="14"/>
  <c r="M105" i="14"/>
  <c r="M103" i="14"/>
  <c r="M101" i="14"/>
  <c r="M98" i="14"/>
  <c r="M96" i="14"/>
  <c r="M94" i="14"/>
  <c r="M81" i="14"/>
  <c r="M83" i="14"/>
  <c r="M85" i="14"/>
  <c r="M88" i="14"/>
  <c r="M78" i="14"/>
  <c r="M76" i="14"/>
  <c r="M74" i="14"/>
  <c r="I13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I36" i="14"/>
  <c r="I6" i="14"/>
  <c r="I7" i="14"/>
  <c r="I8" i="14"/>
  <c r="I11" i="14"/>
  <c r="I14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16" i="14"/>
  <c r="I18" i="14"/>
  <c r="I21" i="14"/>
  <c r="I24" i="14"/>
  <c r="I26" i="14"/>
  <c r="I28" i="14"/>
  <c r="I31" i="14"/>
  <c r="I34" i="14"/>
  <c r="I50" i="14"/>
  <c r="I67" i="14"/>
  <c r="I65" i="14"/>
  <c r="I62" i="14"/>
  <c r="I60" i="14"/>
  <c r="I56" i="14"/>
  <c r="I54" i="14"/>
  <c r="I48" i="14"/>
  <c r="I46" i="14"/>
  <c r="I44" i="14"/>
  <c r="I41" i="14"/>
  <c r="I68" i="14"/>
  <c r="I66" i="14"/>
  <c r="I64" i="14"/>
  <c r="I61" i="14"/>
  <c r="I57" i="14"/>
  <c r="I55" i="14"/>
  <c r="I52" i="14"/>
  <c r="I47" i="14"/>
  <c r="I45" i="14"/>
  <c r="I43" i="14"/>
  <c r="I40" i="14"/>
  <c r="I17" i="14"/>
  <c r="I20" i="14"/>
  <c r="I22" i="14"/>
  <c r="I25" i="14"/>
  <c r="I27" i="14"/>
  <c r="I29" i="14"/>
  <c r="I32" i="14"/>
  <c r="I35" i="14"/>
  <c r="I37" i="14"/>
  <c r="G108" i="14"/>
  <c r="G105" i="14"/>
  <c r="G103" i="14"/>
  <c r="G101" i="14"/>
  <c r="G98" i="14"/>
  <c r="G96" i="14"/>
  <c r="G94" i="14"/>
  <c r="G81" i="14"/>
  <c r="G83" i="14"/>
  <c r="G85" i="14"/>
  <c r="G88" i="14"/>
  <c r="G78" i="14"/>
  <c r="G107" i="14"/>
  <c r="G104" i="14"/>
  <c r="G102" i="14"/>
  <c r="G99" i="14"/>
  <c r="G97" i="14"/>
  <c r="G95" i="14"/>
  <c r="G93" i="14"/>
  <c r="G82" i="14"/>
  <c r="G84" i="14"/>
  <c r="G87" i="14"/>
  <c r="G79" i="14"/>
  <c r="G77" i="14"/>
  <c r="G75" i="14"/>
  <c r="G73" i="14"/>
  <c r="G76" i="14"/>
  <c r="G74" i="14"/>
  <c r="G50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48" i="14"/>
  <c r="G47" i="14"/>
  <c r="G46" i="14"/>
  <c r="G45" i="14"/>
  <c r="G44" i="14"/>
  <c r="G43" i="14"/>
  <c r="G41" i="14"/>
  <c r="G40" i="14"/>
  <c r="G16" i="14"/>
  <c r="G17" i="14"/>
  <c r="G18" i="14"/>
  <c r="G20" i="14"/>
  <c r="G21" i="14"/>
  <c r="G22" i="14"/>
  <c r="G24" i="14"/>
  <c r="G25" i="14"/>
  <c r="G26" i="14"/>
  <c r="G27" i="14"/>
  <c r="G28" i="14"/>
  <c r="G29" i="14"/>
  <c r="G31" i="14"/>
  <c r="G32" i="14"/>
  <c r="G34" i="14"/>
  <c r="G35" i="14"/>
  <c r="G36" i="14"/>
  <c r="G37" i="14"/>
  <c r="D6" i="14"/>
  <c r="F14" i="14"/>
  <c r="F8" i="14"/>
  <c r="F10" i="14"/>
  <c r="F11" i="14"/>
  <c r="F13" i="14"/>
  <c r="F37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4" i="14"/>
  <c r="F73" i="14"/>
  <c r="F17" i="14"/>
  <c r="F20" i="14"/>
  <c r="F22" i="14"/>
  <c r="F25" i="14"/>
  <c r="F27" i="14"/>
  <c r="F29" i="14"/>
  <c r="F32" i="14"/>
  <c r="F35" i="14"/>
  <c r="F50" i="14"/>
  <c r="F49" i="14" s="1"/>
  <c r="F68" i="14"/>
  <c r="F66" i="14"/>
  <c r="F64" i="14"/>
  <c r="F61" i="14"/>
  <c r="F57" i="14"/>
  <c r="F55" i="14"/>
  <c r="F52" i="14"/>
  <c r="F48" i="14"/>
  <c r="F46" i="14"/>
  <c r="F44" i="14"/>
  <c r="F41" i="14"/>
  <c r="F40" i="14"/>
  <c r="F67" i="14"/>
  <c r="F65" i="14"/>
  <c r="F62" i="14"/>
  <c r="F60" i="14"/>
  <c r="F56" i="14"/>
  <c r="F54" i="14"/>
  <c r="F47" i="14"/>
  <c r="F45" i="14"/>
  <c r="F43" i="14"/>
  <c r="F16" i="14"/>
  <c r="F18" i="14"/>
  <c r="F21" i="14"/>
  <c r="F24" i="14"/>
  <c r="F26" i="14"/>
  <c r="F28" i="14"/>
  <c r="F31" i="14"/>
  <c r="F34" i="14"/>
  <c r="F36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K86" i="14"/>
  <c r="K59" i="14"/>
  <c r="H59" i="14"/>
  <c r="H63" i="14"/>
  <c r="M59" i="14"/>
  <c r="M86" i="14"/>
  <c r="I86" i="14"/>
  <c r="I59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<sst xmlns="http://schemas.openxmlformats.org/spreadsheetml/2006/main" count="3663" uniqueCount="1697">
  <si>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</si>
  <si>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</si>
  <si>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</si>
  <si>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</si>
  <si>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</si>
  <si>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</si>
  <si>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</si>
  <si>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</si>
  <si>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</si>
  <si>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</si>
  <si>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</si>
  <si>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</si>
  <si>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</si>
  <si>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</si>
  <si>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</si>
  <si>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</si>
  <si>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</si>
  <si>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</si>
  <si>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</si>
  <si>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</si>
  <si>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</si>
  <si>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</si>
  <si>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</si>
  <si>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</si>
  <si>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</si>
  <si>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</si>
  <si>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</si>
  <si>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</si>
  <si>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</si>
  <si>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</si>
  <si>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</si>
  <si>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</si>
  <si>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</si>
  <si>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</si>
  <si>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</si>
  <si>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</si>
  <si>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</si>
  <si>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</si>
  <si>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</si>
  <si>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</si>
  <si>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</si>
  <si>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</si>
  <si>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</si>
  <si>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</si>
  <si>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</si>
  <si>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</si>
  <si>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</si>
  <si>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</si>
  <si>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</si>
  <si>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</si>
  <si>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</si>
  <si>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</si>
  <si>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</si>
  <si>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</si>
  <si>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</si>
  <si>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</si>
  <si>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</si>
  <si>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</si>
  <si>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</si>
  <si>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</si>
  <si>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</si>
  <si>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</si>
  <si>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</si>
  <si>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</si>
  <si>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</si>
  <si>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</si>
  <si>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</si>
  <si>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</si>
  <si>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</si>
  <si>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</si>
  <si>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</si>
  <si>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</si>
  <si>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</si>
  <si>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</si>
  <si>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</si>
  <si>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</si>
  <si>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</si>
  <si>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</si>
  <si>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</si>
  <si>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</si>
  <si>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</si>
  <si>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</si>
  <si>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</si>
  <si>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</si>
  <si>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</si>
  <si>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</si>
  <si>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</si>
  <si>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</si>
  <si>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</si>
  <si>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</si>
  <si>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</si>
  <si>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</si>
  <si>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</si>
  <si>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</si>
  <si>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</si>
  <si>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</si>
  <si>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</si>
  <si>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</si>
  <si>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</si>
  <si>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</si>
  <si>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</si>
  <si>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</si>
  <si>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</si>
  <si>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</si>
  <si>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</si>
  <si>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</si>
  <si>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</si>
  <si>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</si>
  <si>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</si>
  <si>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</si>
  <si>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</si>
  <si>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</si>
  <si>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</si>
  <si>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</si>
  <si>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</si>
  <si>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</si>
  <si>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</si>
  <si>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</si>
  <si>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</si>
  <si>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</si>
  <si>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</si>
  <si>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</si>
  <si>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</si>
  <si>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</si>
  <si>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</si>
  <si>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</si>
  <si>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</si>
  <si>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</si>
  <si>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</si>
  <si>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</si>
  <si>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</si>
  <si>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</si>
  <si>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</si>
  <si>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</si>
  <si>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</si>
  <si>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</si>
  <si>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</si>
  <si>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</si>
  <si>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</si>
  <si>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</si>
  <si>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</si>
  <si>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</si>
  <si>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</si>
  <si>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</si>
  <si>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</si>
  <si>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</si>
  <si>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</si>
  <si>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</si>
  <si>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</si>
  <si>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</si>
  <si>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</si>
  <si>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</si>
  <si>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</si>
  <si>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</si>
  <si>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</si>
  <si>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</si>
  <si>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</si>
  <si>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</si>
  <si>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</si>
  <si>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</si>
  <si>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</si>
  <si>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</si>
  <si>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</si>
  <si>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</si>
  <si>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</si>
  <si>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</si>
  <si>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</si>
  <si>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</si>
  <si>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</si>
  <si>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</si>
  <si>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</si>
  <si>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</si>
  <si>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</si>
  <si>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</si>
  <si>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</si>
  <si>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</si>
  <si>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</si>
  <si>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</si>
  <si>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</si>
  <si>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</si>
  <si>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</si>
  <si>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</si>
  <si>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</si>
  <si>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</si>
  <si>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</si>
  <si>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</si>
  <si>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</si>
  <si>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</si>
  <si>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</si>
  <si>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</si>
  <si>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</si>
  <si>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</si>
  <si>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</si>
  <si>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</si>
  <si>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</si>
  <si>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</si>
  <si>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</si>
  <si>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</si>
  <si>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</si>
  <si>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</si>
  <si>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</si>
  <si>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</si>
  <si>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</si>
  <si>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</si>
  <si>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</si>
  <si>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</si>
  <si>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</si>
  <si>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</si>
  <si>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</si>
  <si>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</si>
  <si>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</si>
  <si>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</si>
  <si>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</si>
  <si>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</si>
  <si>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</si>
  <si>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</si>
  <si>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</si>
  <si>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</si>
  <si>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</si>
  <si>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</si>
  <si>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</si>
  <si>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</si>
  <si>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</si>
  <si>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</si>
  <si>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</si>
  <si>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</si>
  <si>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</si>
  <si>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</si>
  <si>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</si>
  <si>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</si>
  <si>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</si>
  <si>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</si>
  <si>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</si>
  <si>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</si>
  <si>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</si>
  <si>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</si>
  <si>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</si>
  <si>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</si>
  <si>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</si>
  <si>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</si>
  <si>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</si>
  <si>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</si>
  <si>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</si>
  <si>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</si>
  <si>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</si>
  <si>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</si>
  <si>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</si>
  <si>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</si>
  <si>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</si>
  <si>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</si>
  <si>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</si>
  <si>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</si>
  <si>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</si>
  <si>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</si>
  <si>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</si>
  <si>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</si>
  <si>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</si>
  <si>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</si>
  <si>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</si>
  <si>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</si>
  <si>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</si>
  <si>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</si>
  <si>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</si>
  <si>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</si>
  <si>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</si>
  <si>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</si>
  <si>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</si>
  <si>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</si>
  <si>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</si>
  <si>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</si>
  <si>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</si>
  <si>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</si>
  <si>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</si>
  <si>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</si>
  <si>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</si>
  <si>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</si>
  <si>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</si>
  <si>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</si>
  <si>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</si>
  <si>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</si>
  <si>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</si>
  <si>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</si>
  <si>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</si>
  <si>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</si>
  <si>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</si>
  <si>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</si>
  <si>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</si>
  <si>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</si>
  <si>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</si>
  <si>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</si>
  <si>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</si>
  <si>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</si>
  <si>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</si>
  <si>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</si>
  <si>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</si>
  <si>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</si>
  <si>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</si>
  <si>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</si>
  <si>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</si>
  <si>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</si>
  <si>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</si>
  <si>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</si>
  <si>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</si>
  <si>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</si>
  <si>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</si>
  <si>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</si>
  <si>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</si>
  <si>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</si>
  <si>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</si>
  <si>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</si>
  <si>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</si>
  <si>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</si>
  <si>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</si>
  <si>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</si>
  <si>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</si>
  <si>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</si>
  <si>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</si>
  <si>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</si>
  <si>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</si>
  <si>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</si>
  <si>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</si>
  <si>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</si>
  <si>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</si>
  <si>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</si>
  <si>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</si>
  <si>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</si>
  <si>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</si>
  <si>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</si>
  <si>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</si>
  <si>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</si>
  <si>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</si>
  <si>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</si>
  <si>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</si>
  <si>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</si>
  <si>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</si>
  <si>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</si>
  <si>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</si>
  <si>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</si>
  <si>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</si>
  <si>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</si>
  <si>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</si>
  <si>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</si>
  <si>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</si>
  <si>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</si>
  <si>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</si>
  <si>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</si>
  <si>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</si>
  <si>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</si>
  <si>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</si>
  <si>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</si>
  <si>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</si>
  <si>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</si>
  <si>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</si>
  <si>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</si>
  <si>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</si>
  <si>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</si>
  <si>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</si>
  <si>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</si>
  <si>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</si>
  <si>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</si>
  <si>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</si>
  <si>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</si>
  <si>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</si>
  <si>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</si>
  <si>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</si>
  <si>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</si>
  <si>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</si>
  <si>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</si>
  <si>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</si>
  <si>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</si>
  <si>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</si>
  <si>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</si>
  <si>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</si>
  <si>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</si>
  <si>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</si>
  <si>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</si>
  <si>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</si>
  <si>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</si>
  <si>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</si>
  <si>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</si>
  <si>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</si>
  <si>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</si>
  <si>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</si>
  <si>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</si>
  <si>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</si>
  <si>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</si>
  <si>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</si>
  <si>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</si>
  <si>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</si>
  <si>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</si>
  <si>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</si>
  <si>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</si>
  <si>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</si>
  <si>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</si>
  <si>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</si>
  <si>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</si>
  <si>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</si>
  <si>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</si>
  <si>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</si>
  <si>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</si>
  <si>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</si>
  <si>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</si>
  <si>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</si>
  <si>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</si>
  <si>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</si>
  <si>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</si>
  <si>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</si>
  <si>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</si>
  <si>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</si>
  <si>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</si>
  <si>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</si>
  <si>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</si>
  <si>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</si>
  <si>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</si>
  <si>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</si>
  <si>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</si>
  <si>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</si>
  <si>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</si>
  <si>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</si>
  <si>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</si>
  <si>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</si>
  <si>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</si>
  <si>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</si>
  <si>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</si>
  <si>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</si>
  <si>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</si>
  <si>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</si>
  <si>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</si>
  <si>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</si>
  <si>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</si>
  <si>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</si>
  <si>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</si>
  <si>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</si>
  <si>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</si>
  <si>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</si>
  <si>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</si>
  <si>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</si>
  <si>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</si>
  <si>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</si>
  <si>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</si>
  <si>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</si>
  <si>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</si>
  <si>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</si>
  <si>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</si>
  <si>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</si>
  <si>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</si>
  <si>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</si>
  <si>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</si>
  <si>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</si>
  <si>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</si>
  <si>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</si>
  <si>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</si>
  <si>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</si>
  <si>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</si>
  <si>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</si>
  <si>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</si>
  <si>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</si>
  <si>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</si>
  <si>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</si>
  <si>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</si>
  <si>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</si>
  <si>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</si>
  <si>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</si>
  <si>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</si>
  <si>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</si>
  <si>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</si>
  <si>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</si>
  <si>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</si>
  <si>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</si>
  <si>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</si>
  <si>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</si>
  <si>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</si>
  <si>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</si>
  <si>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</si>
  <si>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</si>
  <si>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</si>
  <si>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</si>
  <si>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</si>
  <si>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</si>
  <si>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</si>
  <si>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</si>
  <si>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</si>
  <si>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</si>
  <si>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</si>
  <si>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</si>
  <si>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</si>
  <si>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</si>
  <si>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</si>
  <si>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</si>
  <si>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</si>
  <si>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</si>
  <si>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</si>
  <si>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</si>
  <si>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</si>
  <si>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</si>
  <si>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</si>
  <si>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</si>
  <si>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</si>
  <si>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</si>
  <si>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</si>
  <si>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</si>
  <si>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</si>
  <si>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</si>
  <si>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</si>
  <si>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</si>
  <si>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</si>
  <si>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</si>
  <si>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</si>
  <si>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</si>
  <si>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</si>
  <si>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</si>
  <si>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</si>
  <si>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</si>
  <si>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</si>
  <si>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</si>
  <si>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</si>
  <si>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</si>
  <si>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</si>
  <si>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</si>
  <si>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</si>
  <si>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</si>
  <si>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</si>
  <si>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</si>
  <si>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</si>
  <si>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</si>
  <si>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</si>
  <si>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</si>
  <si>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</si>
  <si>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</si>
  <si>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</si>
  <si>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</si>
  <si>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</si>
  <si>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</si>
  <si>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</si>
  <si>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</si>
  <si>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</si>
  <si>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</si>
  <si>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</si>
  <si>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</si>
  <si>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</si>
  <si>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</si>
  <si>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</si>
  <si>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</si>
  <si>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</si>
  <si>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</si>
  <si>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</si>
  <si>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</si>
  <si>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</si>
  <si>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</si>
  <si>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</si>
  <si>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</si>
  <si>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</si>
  <si>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</si>
  <si>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</si>
  <si>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</si>
  <si>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</si>
  <si>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</si>
  <si>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</si>
  <si>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</si>
  <si>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</si>
  <si>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</si>
  <si>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</si>
  <si>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</si>
  <si>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</si>
  <si>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</si>
  <si>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</si>
  <si>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</si>
  <si>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</si>
  <si>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</si>
  <si>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</si>
  <si>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</si>
  <si>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</si>
  <si>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</si>
  <si>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</si>
  <si>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</si>
  <si>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</si>
  <si>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</si>
  <si>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</si>
  <si>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</si>
  <si>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</si>
  <si>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</si>
  <si>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</si>
  <si>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</si>
  <si>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</si>
  <si>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</si>
  <si>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</si>
  <si>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</si>
  <si>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</si>
  <si>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</si>
  <si>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</si>
  <si>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</si>
  <si>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</si>
  <si>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</si>
  <si>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</si>
  <si>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</si>
  <si>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</si>
  <si>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</si>
  <si>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</si>
  <si>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</si>
  <si>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</si>
  <si>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</si>
  <si>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</si>
  <si>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</si>
  <si>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</si>
  <si>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</si>
  <si>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</si>
  <si>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</si>
  <si>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</si>
  <si>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</si>
  <si>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</si>
  <si>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</si>
  <si>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</si>
  <si>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</si>
  <si>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</si>
  <si>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</si>
  <si>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</si>
  <si>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</si>
  <si>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</si>
  <si>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</si>
  <si>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</si>
  <si>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</si>
  <si>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</si>
  <si>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</si>
  <si>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</si>
  <si>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</si>
  <si>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</si>
  <si>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</si>
  <si>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</si>
  <si>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</si>
  <si>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</si>
  <si>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</si>
  <si>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</si>
  <si>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</si>
  <si>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</si>
  <si>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</si>
  <si>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</si>
  <si>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</si>
  <si>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</si>
  <si>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</si>
  <si>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</si>
  <si>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</si>
  <si>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</si>
  <si>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</si>
  <si>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</si>
  <si>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</si>
  <si>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</si>
  <si>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</si>
  <si>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</si>
  <si>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</si>
  <si>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</si>
  <si>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</si>
  <si>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</si>
  <si>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</si>
  <si>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</si>
  <si>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</si>
  <si>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</si>
  <si>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</si>
  <si>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</si>
  <si>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</si>
  <si>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</si>
  <si>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</si>
  <si>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</si>
  <si>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</si>
  <si>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</si>
  <si>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</si>
  <si>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</si>
  <si>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</si>
  <si>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</si>
  <si>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</si>
  <si>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</si>
  <si>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</si>
  <si>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</si>
  <si>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</si>
  <si>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</si>
  <si>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</si>
  <si>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</si>
  <si>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</si>
  <si>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</si>
  <si>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</si>
  <si>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</si>
  <si>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</si>
  <si>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</si>
  <si>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</si>
  <si>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</si>
  <si>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</si>
  <si>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</si>
  <si>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</si>
  <si>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</si>
  <si>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</si>
  <si>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</si>
  <si>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</si>
  <si>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</si>
  <si>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</si>
  <si>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</si>
  <si>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</si>
  <si>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</si>
  <si>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</si>
  <si>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</si>
  <si>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</si>
  <si>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</si>
  <si>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</si>
  <si>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</si>
  <si>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</si>
  <si>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</si>
  <si>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</si>
  <si>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</si>
  <si>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</si>
  <si>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</si>
  <si>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</si>
  <si>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</si>
  <si>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</si>
  <si>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</si>
  <si>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</si>
  <si>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</si>
  <si>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</si>
  <si>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</si>
  <si>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</si>
  <si>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</si>
  <si>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</si>
  <si>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</si>
  <si>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</si>
  <si>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</si>
  <si>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</si>
  <si>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</si>
  <si>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</si>
  <si>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</si>
  <si>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</si>
  <si>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</si>
  <si>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</si>
  <si>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</si>
  <si>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</si>
  <si>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</si>
  <si>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</si>
  <si>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</si>
  <si>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</si>
  <si>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</si>
  <si>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</si>
  <si>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</si>
  <si>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</si>
  <si>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</si>
  <si>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</si>
  <si>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</si>
  <si>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</si>
  <si>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</si>
  <si>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</si>
  <si>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</si>
  <si>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</si>
  <si>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</si>
  <si>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</si>
  <si>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</si>
  <si>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</si>
  <si>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</si>
  <si>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</si>
  <si>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</si>
  <si>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</si>
  <si>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</si>
  <si>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</si>
  <si>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</si>
  <si>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</si>
  <si>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</si>
  <si>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</si>
  <si>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</si>
  <si>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</si>
  <si>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</si>
  <si>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</si>
  <si>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</si>
  <si>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</si>
  <si>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</si>
  <si>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</si>
  <si>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</si>
  <si>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</si>
  <si>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</si>
  <si>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</si>
  <si>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</si>
  <si>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</si>
  <si>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</si>
  <si>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</si>
  <si>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</si>
  <si>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</si>
  <si>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</si>
  <si>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</si>
  <si>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</si>
  <si>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</si>
  <si>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</si>
  <si>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</si>
  <si>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</si>
  <si>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</si>
  <si>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</si>
  <si>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</si>
  <si>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</si>
  <si>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</si>
  <si>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</si>
  <si>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</si>
  <si>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</si>
  <si>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</si>
  <si>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</si>
  <si>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</si>
  <si>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</si>
  <si>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</si>
  <si>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</si>
  <si>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</si>
  <si>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</si>
  <si>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</si>
  <si>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</si>
  <si>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</si>
  <si>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</si>
  <si>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</si>
  <si>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</si>
  <si>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</si>
  <si>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</si>
  <si>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</si>
  <si>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</si>
  <si>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</si>
  <si>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</si>
  <si>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</si>
  <si>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</si>
  <si>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</si>
  <si>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</si>
  <si>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</si>
  <si>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</si>
  <si>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</si>
  <si>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</si>
  <si>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</si>
  <si>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</si>
  <si>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</si>
  <si>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</si>
  <si>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</si>
  <si>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</si>
  <si>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</si>
  <si>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</si>
  <si>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</si>
  <si>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</si>
  <si>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</si>
  <si>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</si>
  <si>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</si>
  <si>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</si>
  <si>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</si>
  <si>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</si>
  <si>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</si>
  <si>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</si>
  <si>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</si>
  <si>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</si>
  <si>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</si>
  <si>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</si>
  <si>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</si>
  <si>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</si>
  <si>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</si>
  <si>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</si>
  <si>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</si>
  <si>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</si>
  <si>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</si>
  <si>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</si>
  <si>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</si>
  <si>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</si>
  <si>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</si>
  <si>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</si>
  <si>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</si>
  <si>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</si>
  <si>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</si>
  <si>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</si>
  <si>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</si>
  <si>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</si>
  <si>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</si>
  <si>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</si>
  <si>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</si>
  <si>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</si>
  <si>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</si>
  <si>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</si>
  <si>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</si>
  <si>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</si>
  <si>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</si>
  <si>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</si>
  <si>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</si>
  <si>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</si>
  <si>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</si>
  <si>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</si>
  <si>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</si>
  <si>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</si>
  <si>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</si>
  <si>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</si>
  <si>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</si>
  <si>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</si>
  <si>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</si>
  <si>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</si>
  <si>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</si>
  <si>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</si>
  <si>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</si>
  <si>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</si>
  <si>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</si>
  <si>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</si>
  <si>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</si>
  <si>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</si>
  <si>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</si>
  <si>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</si>
  <si>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</si>
  <si>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</si>
  <si>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</si>
  <si>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</si>
  <si>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</si>
  <si>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</si>
  <si>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</si>
  <si>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</si>
  <si>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</si>
  <si>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</si>
  <si>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</si>
  <si>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</si>
  <si>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</si>
  <si>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</si>
  <si>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</si>
  <si>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</si>
  <si>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</si>
  <si>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</si>
  <si>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</si>
  <si>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</si>
  <si>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</si>
  <si>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</si>
  <si>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</si>
  <si>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</si>
  <si>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</si>
  <si>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</si>
  <si>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</si>
  <si>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</si>
  <si>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</si>
  <si>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</si>
  <si>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</si>
  <si>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</si>
  <si>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</si>
  <si>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</si>
  <si>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</si>
  <si>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</si>
  <si>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</si>
  <si>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</si>
  <si>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</si>
  <si>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</si>
  <si>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</si>
  <si>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</si>
  <si>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</si>
  <si>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</si>
  <si>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</si>
  <si>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</si>
  <si>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</si>
  <si>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</si>
  <si>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</si>
  <si>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</si>
  <si>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</si>
  <si>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</si>
  <si>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</si>
  <si>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</si>
  <si>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</si>
  <si>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</si>
  <si>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</si>
  <si>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</si>
  <si>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</si>
  <si>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</si>
  <si>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</si>
  <si>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</si>
  <si>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</si>
  <si>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</si>
  <si>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</si>
  <si>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</si>
  <si>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</si>
  <si>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</si>
  <si>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</si>
  <si>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</si>
  <si>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</si>
  <si>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</si>
  <si>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</si>
  <si>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</si>
  <si>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</si>
  <si>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</si>
  <si>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</si>
  <si>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</si>
  <si>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</si>
  <si>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</si>
  <si>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</si>
  <si>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</si>
  <si>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</si>
  <si>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</si>
  <si>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</si>
  <si>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</si>
  <si>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</si>
  <si>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</si>
  <si>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</si>
  <si>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</si>
  <si>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</si>
  <si>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</si>
  <si>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</si>
  <si>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</si>
  <si>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</si>
  <si>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</si>
  <si>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</si>
  <si>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</si>
  <si>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</si>
  <si>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</si>
  <si>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</si>
  <si>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</si>
  <si>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</si>
  <si>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</si>
  <si>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</si>
  <si>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</si>
  <si>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</si>
  <si>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</si>
  <si>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</si>
  <si>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</si>
  <si>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</si>
  <si>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</si>
  <si>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</si>
  <si>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</si>
  <si>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</si>
  <si>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</si>
  <si>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</si>
  <si>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</si>
  <si>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</si>
  <si>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</si>
  <si>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</si>
  <si>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</si>
  <si>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</si>
  <si>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</si>
  <si>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</si>
  <si>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</si>
  <si>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</si>
  <si>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</si>
  <si>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</si>
  <si>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</si>
  <si>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</si>
  <si>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</si>
  <si>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</si>
  <si>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</si>
  <si>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</si>
  <si>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</si>
  <si>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</si>
  <si>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</si>
  <si>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</si>
  <si>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</si>
  <si>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</si>
  <si>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</si>
  <si>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</si>
  <si>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</si>
  <si>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</si>
  <si>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</si>
  <si>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</si>
  <si>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</si>
  <si>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</si>
  <si>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</si>
  <si>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</si>
  <si>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</si>
  <si>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</si>
  <si>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</si>
  <si>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</si>
  <si>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</si>
  <si>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</si>
  <si>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</si>
  <si>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</si>
  <si>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</si>
  <si>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</si>
  <si>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</si>
  <si>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</si>
  <si>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</si>
  <si>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</si>
  <si>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</si>
  <si>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</si>
  <si>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</si>
  <si>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</si>
  <si>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</si>
  <si>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</si>
  <si>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</si>
  <si>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</si>
  <si>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</si>
  <si>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</si>
  <si>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</si>
  <si>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</si>
  <si>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</si>
  <si>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</si>
  <si>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</si>
  <si>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</si>
  <si>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</si>
  <si>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</si>
  <si>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</si>
  <si>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</si>
  <si>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</si>
  <si>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</si>
  <si>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</si>
  <si>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</si>
  <si>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</si>
  <si>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</si>
  <si>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</si>
  <si>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</si>
  <si>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</si>
  <si>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</si>
  <si>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</si>
  <si>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</si>
  <si>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</si>
  <si>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</si>
  <si>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</si>
  <si>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</si>
  <si>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</si>
  <si>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</si>
  <si>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</si>
  <si>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</si>
  <si>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</si>
  <si>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</si>
  <si>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</si>
  <si>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</si>
  <si>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</si>
  <si>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</si>
  <si>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</si>
  <si>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</si>
  <si>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</si>
  <si>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</si>
  <si>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</si>
  <si>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</si>
  <si>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</si>
  <si>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</si>
  <si>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</si>
  <si>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</si>
  <si>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</si>
  <si>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</si>
  <si>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</si>
  <si>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</si>
  <si>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</si>
  <si>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</si>
  <si>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</si>
  <si>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</si>
  <si>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</si>
  <si>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</si>
  <si>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</si>
  <si>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</si>
  <si>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</si>
  <si>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</si>
  <si>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</si>
  <si>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</si>
  <si>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</si>
  <si>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</si>
  <si>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</si>
  <si>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</si>
  <si>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</si>
  <si>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</si>
  <si>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</si>
  <si>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</si>
  <si>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</si>
  <si>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</si>
  <si>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</si>
  <si>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</si>
  <si>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</si>
  <si>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</si>
  <si>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</si>
  <si>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</si>
  <si>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</si>
  <si>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</si>
  <si>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</si>
  <si>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</si>
  <si>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</si>
  <si>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</si>
  <si>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</si>
  <si>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</si>
  <si>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</si>
  <si>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</si>
  <si>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</si>
  <si>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</si>
  <si>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</si>
  <si>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</si>
  <si>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</si>
  <si>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</si>
  <si>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</si>
  <si>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</si>
  <si>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</si>
  <si>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</si>
  <si>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</si>
  <si>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</si>
  <si>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</si>
  <si>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</si>
  <si>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</si>
  <si>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</si>
  <si>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</si>
  <si>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</si>
  <si>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</si>
  <si>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</si>
  <si>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</si>
  <si>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</si>
  <si>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</si>
  <si>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</si>
  <si>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</si>
  <si>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</si>
  <si>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</si>
  <si>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</si>
  <si>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</si>
  <si>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</si>
  <si>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</si>
  <si>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</si>
  <si>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</si>
  <si>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</si>
  <si>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</si>
  <si>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</si>
  <si>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</si>
  <si>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</si>
  <si>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</si>
  <si>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</si>
  <si>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</si>
  <si>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</si>
  <si>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</si>
  <si>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</si>
  <si>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</si>
  <si>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</si>
  <si>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</si>
  <si>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</si>
  <si>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</si>
  <si>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</si>
  <si>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</si>
  <si>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</si>
  <si>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</si>
  <si>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</si>
  <si>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</si>
  <si>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</si>
  <si>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</si>
  <si>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</si>
  <si>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</si>
  <si>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</si>
  <si>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</si>
  <si>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</si>
  <si>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</si>
  <si>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</si>
  <si>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</si>
  <si>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</si>
  <si>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</si>
  <si>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</si>
  <si>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</si>
  <si>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</si>
  <si>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</si>
  <si>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</si>
  <si>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</si>
  <si>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</si>
  <si>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</si>
  <si>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</si>
  <si>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</si>
  <si>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</si>
  <si>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</si>
  <si>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</si>
  <si>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</si>
  <si>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</si>
  <si>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</si>
  <si>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</si>
  <si>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</si>
  <si>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</si>
  <si>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</si>
  <si>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</si>
  <si>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</si>
  <si>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</si>
  <si>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</si>
  <si>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</si>
  <si>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</si>
  <si>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</si>
  <si>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</si>
  <si>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</si>
  <si>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</si>
  <si>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</si>
  <si>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</si>
  <si>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</si>
  <si>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</si>
  <si>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</si>
  <si>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</si>
  <si>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</si>
  <si>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</si>
  <si>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</si>
  <si>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</si>
  <si>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</si>
  <si>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</si>
  <si>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</si>
  <si>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</si>
  <si>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</si>
  <si>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</si>
  <si>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</si>
  <si>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</si>
  <si>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</si>
  <si>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</si>
  <si>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</si>
  <si>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</si>
  <si>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</si>
  <si>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</si>
  <si>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</si>
  <si>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</si>
  <si>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</si>
  <si>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</si>
  <si>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</si>
  <si>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</si>
  <si>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</si>
  <si>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</si>
  <si>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</si>
  <si>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</si>
  <si>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</si>
  <si>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</si>
  <si>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</si>
  <si>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</si>
  <si>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</si>
  <si>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</si>
  <si>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</si>
  <si>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</si>
  <si>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</si>
  <si>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</si>
  <si>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</si>
  <si>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</si>
  <si>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</si>
  <si>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</si>
  <si>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</si>
  <si>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</si>
  <si>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</si>
  <si>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</si>
  <si>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</si>
  <si>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</si>
  <si>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</si>
  <si>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</si>
  <si>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</si>
  <si>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</si>
  <si>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</si>
  <si>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</si>
  <si>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</si>
  <si>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</si>
  <si>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</si>
  <si>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</si>
  <si>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</si>
  <si>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</si>
  <si>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</si>
  <si>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</si>
  <si>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</si>
  <si>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</si>
  <si>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</si>
  <si>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</si>
  <si>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</si>
  <si>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</si>
  <si>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</si>
  <si>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</si>
  <si>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</si>
  <si>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</si>
  <si>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</si>
  <si>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</si>
  <si>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</si>
  <si>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</si>
  <si>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</si>
  <si>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</si>
  <si>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</si>
  <si>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</si>
  <si>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</si>
  <si>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</si>
  <si>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</si>
  <si>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</si>
  <si>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</si>
  <si>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</si>
  <si>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</si>
  <si>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</si>
  <si>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</si>
  <si>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</si>
  <si>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</si>
  <si>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</si>
  <si>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</si>
  <si>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</si>
  <si>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</si>
  <si>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</si>
  <si>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</si>
  <si>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</si>
  <si>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</si>
  <si>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</si>
  <si>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</si>
  <si>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</si>
  <si>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</si>
  <si>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</si>
  <si>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</si>
  <si>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</si>
  <si>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</si>
  <si>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</si>
  <si>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</si>
  <si>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</si>
  <si>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</si>
  <si>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</si>
  <si>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</si>
  <si>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</si>
  <si>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</si>
  <si>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</si>
  <si>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</si>
  <si>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</si>
  <si>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</si>
  <si>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</si>
  <si>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</si>
  <si>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</si>
  <si>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</si>
  <si>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</si>
  <si>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</si>
  <si>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</si>
  <si>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</si>
  <si>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</si>
  <si>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</si>
  <si>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</si>
  <si>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</si>
  <si>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</si>
  <si>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</si>
  <si>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</si>
  <si>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</si>
  <si>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</si>
  <si>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</si>
  <si>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</si>
  <si>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</si>
  <si>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</si>
  <si>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</si>
  <si>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</si>
  <si>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</si>
  <si>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</si>
  <si>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</si>
  <si>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</si>
  <si>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</si>
  <si>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</si>
  <si>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</si>
  <si>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</si>
  <si>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</si>
  <si>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</si>
  <si>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</si>
  <si>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</si>
  <si>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</si>
  <si>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</si>
  <si>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</si>
  <si>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</si>
  <si>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</si>
  <si>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</si>
  <si>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</si>
  <si>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</si>
  <si>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</si>
  <si>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</si>
  <si>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</si>
  <si>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</si>
  <si>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</si>
  <si>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</si>
  <si>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</si>
  <si>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</si>
  <si>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</si>
  <si>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</si>
  <si>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</si>
  <si>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</si>
  <si>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</si>
  <si>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</si>
  <si>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</si>
  <si>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</si>
  <si>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</si>
  <si>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</si>
  <si>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</si>
  <si>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</si>
  <si>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</si>
  <si>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</si>
  <si>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</si>
  <si>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</si>
  <si>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</si>
  <si>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</si>
  <si>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</si>
  <si>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</si>
  <si>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</si>
  <si>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</si>
  <si>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</si>
  <si>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</si>
  <si>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</si>
  <si>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</si>
  <si>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</si>
  <si>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</si>
  <si>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</si>
  <si>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</si>
  <si>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</si>
  <si>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</si>
  <si>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</si>
  <si>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</si>
  <si>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</si>
  <si>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</si>
  <si>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</si>
  <si>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</si>
  <si>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</si>
  <si>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</si>
  <si>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</si>
  <si>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</si>
  <si>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</si>
  <si>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</si>
  <si>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</si>
  <si>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</si>
  <si>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</si>
  <si>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</si>
  <si>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</si>
  <si>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</si>
  <si>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</si>
  <si>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</si>
  <si>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</si>
  <si>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</si>
  <si>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</si>
  <si>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</si>
  <si>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</si>
  <si>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</si>
  <si>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</si>
  <si>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</si>
  <si>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</si>
  <si>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</si>
  <si>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</si>
  <si>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</si>
  <si>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</si>
  <si>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</si>
  <si>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</si>
  <si>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</si>
  <si>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</si>
  <si>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</si>
  <si>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</si>
  <si>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</si>
  <si>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</si>
  <si>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</si>
  <si>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</si>
  <si>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</si>
  <si>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</si>
  <si>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</si>
  <si>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</si>
  <si>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</si>
  <si>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</si>
  <si>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</si>
  <si>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</si>
  <si>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</si>
  <si>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</si>
  <si>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</si>
  <si>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</si>
  <si>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</si>
  <si>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</si>
  <si>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</si>
  <si>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</si>
  <si>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</si>
  <si>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</si>
  <si>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</si>
  <si>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</si>
  <si>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</si>
  <si>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</si>
  <si>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</si>
  <si>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</si>
  <si>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</si>
  <si>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</si>
  <si>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</si>
  <si>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</si>
  <si>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</si>
  <si>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</si>
  <si>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</si>
  <si>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</si>
  <si>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</si>
  <si>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</si>
  <si>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</si>
  <si>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</si>
  <si>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</si>
  <si>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</si>
  <si>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</si>
  <si>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</si>
  <si>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</si>
  <si>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</si>
  <si>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</si>
  <si>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</si>
  <si>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</si>
  <si>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</si>
  <si>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</si>
  <si>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</si>
  <si>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</si>
  <si>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</si>
  <si>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</si>
  <si>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</si>
  <si>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</si>
  <si>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</si>
  <si>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</si>
  <si>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</si>
  <si>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</si>
  <si>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</si>
  <si>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</si>
  <si>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</si>
  <si>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</si>
  <si>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</si>
  <si>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</si>
  <si>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</si>
  <si>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</si>
  <si>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</si>
  <si>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</si>
  <si>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</si>
  <si>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</si>
  <si>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</si>
  <si>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</si>
  <si>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</si>
  <si>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</si>
  <si>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</si>
  <si>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</si>
  <si>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</si>
  <si>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</si>
  <si>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</si>
  <si>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</si>
  <si>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</si>
  <si>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</si>
  <si>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</si>
  <si>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</si>
  <si>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</si>
  <si>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</si>
  <si>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</si>
  <si>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</si>
  <si>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</si>
  <si>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</si>
  <si>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</si>
  <si>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</si>
  <si>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</si>
  <si>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</si>
  <si>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</si>
  <si>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</si>
  <si>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</si>
  <si>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</si>
  <si>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</si>
  <si>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</si>
  <si>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</si>
  <si>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</si>
  <si>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</si>
  <si>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</si>
  <si>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</si>
  <si>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</si>
  <si>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</si>
  <si>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</si>
  <si>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</si>
  <si>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</si>
  <si>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</si>
  <si>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</si>
  <si>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</si>
  <si>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</si>
  <si>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</si>
  <si>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</si>
  <si>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</si>
  <si>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</si>
  <si>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</si>
  <si>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</si>
  <si>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</si>
  <si>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</si>
  <si>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</si>
  <si>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</si>
  <si>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</si>
  <si>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</si>
  <si>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</si>
  <si>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</si>
  <si>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</si>
  <si>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</si>
  <si>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</si>
  <si>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</si>
  <si>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</si>
  <si>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</si>
  <si>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</si>
  <si>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</si>
  <si>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</si>
  <si>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</si>
  <si>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</si>
  <si>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</si>
  <si>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</si>
  <si>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</si>
  <si>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</si>
  <si>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</si>
  <si>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</si>
  <si>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</si>
  <si>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</si>
  <si>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</si>
  <si>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</si>
  <si>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</si>
  <si>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</si>
  <si>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</si>
  <si>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</si>
  <si>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</si>
  <si>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</si>
  <si>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</si>
  <si>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</si>
  <si>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</si>
  <si>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</si>
  <si>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</si>
  <si>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</si>
  <si>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2410 SVEUČILIŠTE U SPLITU - PRIRODOSLOVNO - MATEMATIČKI FAKULTET</t>
  </si>
  <si>
    <t>Split, 20.09.2019</t>
  </si>
  <si>
    <t>Ana Bačić</t>
  </si>
  <si>
    <t>ana.bacic@pmfst.hr</t>
  </si>
  <si>
    <t>Projekt razvoja mladih istraživača -izobrazba novih doktora znanosti -D.Kovačić</t>
  </si>
  <si>
    <t>01.09.2020.</t>
  </si>
  <si>
    <t>31.08.2025.</t>
  </si>
  <si>
    <t>EC</t>
  </si>
  <si>
    <t>istraživanja iz područja fizike okoliša</t>
  </si>
  <si>
    <t>04.12.2018.</t>
  </si>
  <si>
    <t>03.12.2022.</t>
  </si>
  <si>
    <t>HRZZ</t>
  </si>
  <si>
    <t>potpora mladih istraživača</t>
  </si>
  <si>
    <t>15.10.2017.</t>
  </si>
  <si>
    <t>15.10.2022.</t>
  </si>
  <si>
    <t>Sveučilište u Splitu</t>
  </si>
  <si>
    <t>projekt istraživanja, inovacije i edukacije</t>
  </si>
  <si>
    <t>22.03.2019.</t>
  </si>
  <si>
    <t>21.03.2022.</t>
  </si>
  <si>
    <t>Sveučilište u Rijeci</t>
  </si>
  <si>
    <t>unaprjeđenje studijskih programa</t>
  </si>
  <si>
    <t>01.01.2020.</t>
  </si>
  <si>
    <t>31.12.2022.</t>
  </si>
  <si>
    <t>Fakultet građevinarstva, arhitekture i geodezije Split</t>
  </si>
  <si>
    <t>projekt Europskog fonda za regionalni razvoj</t>
  </si>
  <si>
    <t>01.12.2019.</t>
  </si>
  <si>
    <t>30.11.2023.</t>
  </si>
  <si>
    <t>SHExtreme</t>
  </si>
  <si>
    <t>STIM-REI</t>
  </si>
  <si>
    <t>Razvoj studija fizike uz primjernu Hrvatskog kvalifikacijskog okvira - FizKO</t>
  </si>
  <si>
    <t>Razvoj tehnologije za procjenu autopurifikacijskih sposobnosti priobalnih voda</t>
  </si>
  <si>
    <t>Projekt razvoja mladih istraživača -izobrazba novih doktora znanosti -J.Puizina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</si>
</sst>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2" t="s">
        <v>1665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5" t="s">
        <v>1666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5" t="s">
        <v>1667</v>
      </c>
      <c r="D5" s="256"/>
      <c r="E5" s="257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5">
        <v>21619206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5" t="s">
        <v>1668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842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38819040</v>
      </c>
      <c r="D14" s="173">
        <f>+D15+D16</f>
        <v>39765909</v>
      </c>
      <c r="E14" s="173">
        <f>+E15+E16</f>
        <v>39730537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38819040</v>
      </c>
      <c r="D15" s="176">
        <f>'PLAN PRIHODA I PRIMITAKA '!C62</f>
        <v>39765909</v>
      </c>
      <c r="E15" s="176">
        <f>'PLAN PRIHODA I PRIMITAKA '!C98</f>
        <v>39730537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38819040</v>
      </c>
      <c r="D17" s="180">
        <f>+D18+D19</f>
        <v>39965909</v>
      </c>
      <c r="E17" s="180">
        <f>+E18+E19</f>
        <v>39730537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37096916</v>
      </c>
      <c r="D18" s="182">
        <f>'PLAN RASHODA I IZDATAKA'!C72</f>
        <v>38346297</v>
      </c>
      <c r="E18" s="182">
        <f>'PLAN RASHODA I IZDATAKA'!C92</f>
        <v>38123971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1722124</v>
      </c>
      <c r="D19" s="182">
        <f>'PLAN RASHODA I IZDATAKA'!C80</f>
        <v>1619612</v>
      </c>
      <c r="E19" s="182">
        <f>'PLAN RASHODA I IZDATAKA'!C100</f>
        <v>1606566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-200000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200000</v>
      </c>
      <c r="D23" s="181">
        <f>'PLAN PRIHODA I PRIMITAKA '!C41</f>
        <v>200000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-200000</v>
      </c>
      <c r="D24" s="185">
        <f>'PLAN PRIHODA I PRIMITAKA '!C43</f>
        <v>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11" sqref="I1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30171135</v>
      </c>
      <c r="H3" s="198">
        <v>31582145</v>
      </c>
      <c r="I3" s="198">
        <v>32005325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6615</v>
      </c>
      <c r="F4" s="141" t="str">
        <f t="shared" ref="F4:F66" si="2">IFERROR(VLOOKUP(E4,$R$6:$U$73,2,FALSE),"")</f>
        <v>Prihodi od pruženih usluga</v>
      </c>
      <c r="G4" s="198">
        <v>253950</v>
      </c>
      <c r="H4" s="198">
        <v>253950</v>
      </c>
      <c r="I4" s="198">
        <v>253950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65264</v>
      </c>
      <c r="F5" s="141" t="str">
        <f t="shared" si="2"/>
        <v>Sufinanciranje cijene usluge, participacije i slično</v>
      </c>
      <c r="G5" s="198">
        <v>2300000</v>
      </c>
      <c r="H5" s="198">
        <v>2300000</v>
      </c>
      <c r="I5" s="198">
        <v>2300000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52</v>
      </c>
      <c r="D6" s="140" t="str">
        <f t="shared" si="1"/>
        <v>Ostale pomoći</v>
      </c>
      <c r="E6" s="153">
        <v>6391</v>
      </c>
      <c r="F6" s="141" t="str">
        <f t="shared" si="2"/>
        <v>Tekući prijenosi između proračunskih korisnika istog proračuna</v>
      </c>
      <c r="G6" s="198">
        <v>534870</v>
      </c>
      <c r="H6" s="198">
        <v>611022</v>
      </c>
      <c r="I6" s="198">
        <v>625357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11</v>
      </c>
      <c r="D7" s="140" t="str">
        <f t="shared" si="1"/>
        <v>Opći prihodi i primici</v>
      </c>
      <c r="E7" s="153" t="s">
        <v>830</v>
      </c>
      <c r="F7" s="141" t="str">
        <f t="shared" si="2"/>
        <v>Prihodi iz nadležnog proračuna za financiranje redovne djelatnosti proračunskih korisnika</v>
      </c>
      <c r="G7" s="198">
        <v>72091</v>
      </c>
      <c r="H7" s="198">
        <v>72091</v>
      </c>
      <c r="I7" s="198">
        <v>72091</v>
      </c>
      <c r="K7" s="144" t="str">
        <f t="shared" si="3"/>
        <v>671</v>
      </c>
      <c r="L7" s="144" t="str">
        <f t="shared" si="4"/>
        <v>67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636</v>
      </c>
      <c r="F8" s="141" t="str">
        <f t="shared" si="2"/>
        <v>Pomoći proračunskim korisnicima iz proračuna koji im nije nadležan</v>
      </c>
      <c r="G8" s="198">
        <v>158000</v>
      </c>
      <c r="H8" s="198">
        <v>158000</v>
      </c>
      <c r="I8" s="198">
        <v>158000</v>
      </c>
      <c r="K8" s="144" t="str">
        <f t="shared" si="3"/>
        <v>636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43</v>
      </c>
      <c r="D9" s="140" t="str">
        <f t="shared" si="1"/>
        <v>Ostali prihodi za posebne namjene</v>
      </c>
      <c r="E9" s="153">
        <v>65268</v>
      </c>
      <c r="F9" s="141" t="str">
        <f t="shared" si="2"/>
        <v>Ostali prihodi za posebne namjene</v>
      </c>
      <c r="G9" s="198">
        <v>894745</v>
      </c>
      <c r="H9" s="198">
        <v>894745</v>
      </c>
      <c r="I9" s="198">
        <v>894745</v>
      </c>
      <c r="K9" s="144" t="str">
        <f t="shared" si="3"/>
        <v>652</v>
      </c>
      <c r="L9" s="144" t="str">
        <f t="shared" si="4"/>
        <v>65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61</v>
      </c>
      <c r="D10" s="140" t="str">
        <f t="shared" si="1"/>
        <v>Donacije</v>
      </c>
      <c r="E10" s="153">
        <v>663120000</v>
      </c>
      <c r="F10" s="141" t="str">
        <f t="shared" si="2"/>
        <v>Tekuće donacije od neprofitnih organizacija</v>
      </c>
      <c r="G10" s="198">
        <v>127464</v>
      </c>
      <c r="H10" s="198">
        <v>127464</v>
      </c>
      <c r="I10" s="198">
        <v>127464</v>
      </c>
      <c r="K10" s="144" t="str">
        <f t="shared" si="3"/>
        <v>663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663130000</v>
      </c>
      <c r="F11" s="141" t="str">
        <f t="shared" si="2"/>
        <v>Tekuće donacije od trgovačkih društava</v>
      </c>
      <c r="G11" s="198">
        <v>60000</v>
      </c>
      <c r="H11" s="198">
        <v>60000</v>
      </c>
      <c r="I11" s="198">
        <v>60000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51</v>
      </c>
      <c r="D12" s="140" t="str">
        <f t="shared" si="1"/>
        <v>Pomoći EU</v>
      </c>
      <c r="E12" s="153">
        <v>632311700</v>
      </c>
      <c r="F12" s="141" t="str">
        <f t="shared" si="2"/>
        <v>Tekuće pomoći od institucija i tijela EU - ostalo</v>
      </c>
      <c r="G12" s="198">
        <v>1209375</v>
      </c>
      <c r="H12" s="198">
        <v>1209375</v>
      </c>
      <c r="I12" s="198">
        <v>1209375</v>
      </c>
      <c r="K12" s="144" t="str">
        <f t="shared" si="3"/>
        <v>632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52</v>
      </c>
      <c r="D13" s="140" t="str">
        <f t="shared" si="1"/>
        <v>Ostale pomoći</v>
      </c>
      <c r="E13" s="153">
        <v>632112000</v>
      </c>
      <c r="F13" s="141" t="str">
        <f t="shared" si="2"/>
        <v>Tekuće pomoći od međunarodnih organizacija - ostale</v>
      </c>
      <c r="G13" s="198">
        <v>1108650</v>
      </c>
      <c r="H13" s="198">
        <v>1662967</v>
      </c>
      <c r="I13" s="198">
        <v>1662963</v>
      </c>
      <c r="K13" s="144" t="str">
        <f t="shared" si="3"/>
        <v>632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52</v>
      </c>
      <c r="D14" s="140" t="str">
        <f t="shared" si="1"/>
        <v>Ostale pomoći</v>
      </c>
      <c r="E14" s="153">
        <v>6393</v>
      </c>
      <c r="F14" s="141" t="str">
        <f t="shared" si="2"/>
        <v>Tekući prijenosi između proračunskih korisnika istog proračuna temeljem prijenosa EU sredstava</v>
      </c>
      <c r="G14" s="198">
        <v>1123428</v>
      </c>
      <c r="H14" s="198">
        <v>511580</v>
      </c>
      <c r="I14" s="198">
        <v>361267</v>
      </c>
      <c r="K14" s="144" t="str">
        <f t="shared" si="3"/>
        <v>639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561</v>
      </c>
      <c r="D15" s="140" t="str">
        <f t="shared" si="1"/>
        <v>Europski socijalni fond (ESF)</v>
      </c>
      <c r="E15" s="153">
        <v>632310561</v>
      </c>
      <c r="F15" s="141" t="str">
        <f t="shared" si="2"/>
        <v>Tekuće pomoći od institucija i tijela EU - ESF</v>
      </c>
      <c r="G15" s="198">
        <v>684532</v>
      </c>
      <c r="H15" s="198">
        <v>274184</v>
      </c>
      <c r="I15" s="198">
        <v>0</v>
      </c>
      <c r="K15" s="144" t="str">
        <f t="shared" si="3"/>
        <v>632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12</v>
      </c>
      <c r="D16" s="140" t="str">
        <f t="shared" si="1"/>
        <v>Sredstva učešća za pomoći</v>
      </c>
      <c r="E16" s="153" t="s">
        <v>831</v>
      </c>
      <c r="F16" s="141" t="str">
        <f t="shared" si="2"/>
        <v>Prihodi iz nadležnog proračuna za financiranje redovne djelatnosti proračunskih korisnika</v>
      </c>
      <c r="G16" s="198">
        <v>120800</v>
      </c>
      <c r="H16" s="198">
        <v>48386</v>
      </c>
      <c r="I16" s="198">
        <v>0</v>
      </c>
      <c r="K16" s="144" t="str">
        <f t="shared" si="3"/>
        <v>671</v>
      </c>
      <c r="L16" s="144" t="str">
        <f t="shared" si="4"/>
        <v>67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96" activePane="bottomLeft" state="frozen"/>
      <selection pane="bottomLeft" activeCell="K107" sqref="K107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82</v>
      </c>
      <c r="H3" s="149" t="str">
        <f>IFERROR(VLOOKUP(G3,$X$6:$Y$50,2,FALSE),"")</f>
        <v>REDOVNA DJELATNOST SVEUČILIŠTA U SPLITU</v>
      </c>
      <c r="I3" s="198">
        <v>22353286</v>
      </c>
      <c r="J3" s="198">
        <v>23215289</v>
      </c>
      <c r="K3" s="198">
        <v>23548491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82</v>
      </c>
      <c r="H4" s="149" t="str">
        <f t="shared" ref="H4:H67" si="2">IFERROR(VLOOKUP(G4,$X$6:$Y$50,2,FALSE),"")</f>
        <v>REDOVNA DJELATNOST SVEUČILIŠTA U SPLITU</v>
      </c>
      <c r="I4" s="198">
        <v>3688382</v>
      </c>
      <c r="J4" s="198">
        <v>3830523</v>
      </c>
      <c r="K4" s="198">
        <v>3885501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82</v>
      </c>
      <c r="H5" s="149" t="str">
        <f t="shared" si="2"/>
        <v>REDOVNA DJELATNOST SVEUČILIŠTA U SPLITU</v>
      </c>
      <c r="I5" s="198">
        <v>621267</v>
      </c>
      <c r="J5" s="198">
        <v>650000</v>
      </c>
      <c r="K5" s="198">
        <v>675000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82</v>
      </c>
      <c r="H6" s="149" t="str">
        <f t="shared" si="2"/>
        <v>REDOVNA DJELATNOST SVEUČILIŠTA U SPLITU</v>
      </c>
      <c r="I6" s="198">
        <v>357849</v>
      </c>
      <c r="J6" s="198">
        <v>380000</v>
      </c>
      <c r="K6" s="198">
        <v>385000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82</v>
      </c>
      <c r="H7" s="149" t="str">
        <f t="shared" si="2"/>
        <v>REDOVNA DJELATNOST SVEUČILIŠTA U SPLITU</v>
      </c>
      <c r="I7" s="198">
        <v>25000</v>
      </c>
      <c r="J7" s="198">
        <v>36000</v>
      </c>
      <c r="K7" s="198">
        <v>40000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82</v>
      </c>
      <c r="H8" s="149" t="str">
        <f t="shared" si="2"/>
        <v>REDOVNA DJELATNOST SVEUČILIŠTA U SPLITU</v>
      </c>
      <c r="I8" s="198">
        <v>40500</v>
      </c>
      <c r="J8" s="198">
        <v>41000</v>
      </c>
      <c r="K8" s="198">
        <v>42000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31</v>
      </c>
      <c r="D9" s="149" t="str">
        <f t="shared" si="1"/>
        <v>Vlastiti prihodi</v>
      </c>
      <c r="E9" s="154">
        <v>3111</v>
      </c>
      <c r="F9" s="149" t="str">
        <f t="shared" si="0"/>
        <v>Plaće za redovan rad</v>
      </c>
      <c r="G9" s="201" t="s">
        <v>200</v>
      </c>
      <c r="H9" s="149" t="str">
        <f t="shared" si="2"/>
        <v>REDOVNA DJELATNOST SVEUČILIŠTA U SPLITU (IZ EVIDENCIJSKIH PRIHODA)</v>
      </c>
      <c r="I9" s="198">
        <v>90000</v>
      </c>
      <c r="J9" s="198">
        <v>90000</v>
      </c>
      <c r="K9" s="198">
        <v>90000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31</v>
      </c>
      <c r="D10" s="149" t="str">
        <f t="shared" si="1"/>
        <v>Vlastiti prihodi</v>
      </c>
      <c r="E10" s="154">
        <v>3132</v>
      </c>
      <c r="F10" s="149" t="str">
        <f t="shared" si="0"/>
        <v>Doprinosi za obvezno zdravstveno osiguranje</v>
      </c>
      <c r="G10" s="201" t="s">
        <v>200</v>
      </c>
      <c r="H10" s="149" t="str">
        <f t="shared" si="2"/>
        <v>REDOVNA DJELATNOST SVEUČILIŠTA U SPLITU (IZ EVIDENCIJSKIH PRIHODA)</v>
      </c>
      <c r="I10" s="198">
        <v>14850</v>
      </c>
      <c r="J10" s="198">
        <v>14850</v>
      </c>
      <c r="K10" s="198">
        <v>14850</v>
      </c>
      <c r="M10" s="144" t="str">
        <f t="shared" si="3"/>
        <v>313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31</v>
      </c>
      <c r="D11" s="149" t="str">
        <f t="shared" si="1"/>
        <v>Vlastiti prihodi</v>
      </c>
      <c r="E11" s="154">
        <v>3121</v>
      </c>
      <c r="F11" s="149" t="str">
        <f t="shared" si="0"/>
        <v>Ostali rashodi za zaposlene</v>
      </c>
      <c r="G11" s="201" t="s">
        <v>200</v>
      </c>
      <c r="H11" s="149" t="str">
        <f t="shared" si="2"/>
        <v>REDOVNA DJELATNOST SVEUČILIŠTA U SPLITU (IZ EVIDENCIJSKIH PRIHODA)</v>
      </c>
      <c r="I11" s="198">
        <v>5000</v>
      </c>
      <c r="J11" s="198">
        <v>5000</v>
      </c>
      <c r="K11" s="198">
        <v>5000</v>
      </c>
      <c r="M11" s="144" t="str">
        <f t="shared" si="3"/>
        <v>312</v>
      </c>
      <c r="N11" s="144" t="str">
        <f t="shared" si="4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31</v>
      </c>
      <c r="D12" s="149" t="str">
        <f t="shared" si="1"/>
        <v>Vlastiti prihodi</v>
      </c>
      <c r="E12" s="154">
        <v>3211</v>
      </c>
      <c r="F12" s="149" t="str">
        <f t="shared" si="0"/>
        <v>Službena putovanja</v>
      </c>
      <c r="G12" s="201" t="s">
        <v>200</v>
      </c>
      <c r="H12" s="149" t="str">
        <f t="shared" si="2"/>
        <v>REDOVNA DJELATNOST SVEUČILIŠTA U SPLITU (IZ EVIDENCIJSKIH PRIHODA)</v>
      </c>
      <c r="I12" s="198">
        <v>10000</v>
      </c>
      <c r="J12" s="198">
        <v>10000</v>
      </c>
      <c r="K12" s="198">
        <v>10000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31</v>
      </c>
      <c r="D13" s="149" t="str">
        <f t="shared" si="1"/>
        <v>Vlastiti prihodi</v>
      </c>
      <c r="E13" s="154">
        <v>3221</v>
      </c>
      <c r="F13" s="149" t="str">
        <f t="shared" si="0"/>
        <v>Uredski materijal i ostali materijalni rashodi</v>
      </c>
      <c r="G13" s="201" t="s">
        <v>200</v>
      </c>
      <c r="H13" s="149" t="str">
        <f t="shared" si="2"/>
        <v>REDOVNA DJELATNOST SVEUČILIŠTA U SPLITU (IZ EVIDENCIJSKIH PRIHODA)</v>
      </c>
      <c r="I13" s="198">
        <v>25000</v>
      </c>
      <c r="J13" s="198">
        <v>25000</v>
      </c>
      <c r="K13" s="198">
        <v>25000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31</v>
      </c>
      <c r="D14" s="149" t="str">
        <f t="shared" si="1"/>
        <v>Vlastiti prihodi</v>
      </c>
      <c r="E14" s="154">
        <v>3224</v>
      </c>
      <c r="F14" s="149" t="str">
        <f t="shared" si="0"/>
        <v>Materijal i dijelovi za tekuće i investicijsko održavanje</v>
      </c>
      <c r="G14" s="201" t="s">
        <v>200</v>
      </c>
      <c r="H14" s="149" t="str">
        <f t="shared" si="2"/>
        <v>REDOVNA DJELATNOST SVEUČILIŠTA U SPLITU (IZ EVIDENCIJSKIH PRIHODA)</v>
      </c>
      <c r="I14" s="198">
        <v>5000</v>
      </c>
      <c r="J14" s="198">
        <v>5000</v>
      </c>
      <c r="K14" s="198">
        <v>5000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31</v>
      </c>
      <c r="D15" s="149" t="str">
        <f t="shared" si="1"/>
        <v>Vlastiti prihodi</v>
      </c>
      <c r="E15" s="154">
        <v>3225</v>
      </c>
      <c r="F15" s="149" t="str">
        <f t="shared" si="0"/>
        <v>Sitni inventar i auto gume</v>
      </c>
      <c r="G15" s="201" t="s">
        <v>200</v>
      </c>
      <c r="H15" s="149" t="str">
        <f t="shared" si="2"/>
        <v>REDOVNA DJELATNOST SVEUČILIŠTA U SPLITU (IZ EVIDENCIJSKIH PRIHODA)</v>
      </c>
      <c r="I15" s="198">
        <v>1000</v>
      </c>
      <c r="J15" s="198">
        <v>1000</v>
      </c>
      <c r="K15" s="198">
        <v>1000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31</v>
      </c>
      <c r="D16" s="149" t="str">
        <f t="shared" si="1"/>
        <v>Vlastiti prihodi</v>
      </c>
      <c r="E16" s="154">
        <v>3237</v>
      </c>
      <c r="F16" s="149" t="str">
        <f t="shared" si="0"/>
        <v>Intelektualne i osobne usluge</v>
      </c>
      <c r="G16" s="201" t="s">
        <v>200</v>
      </c>
      <c r="H16" s="149" t="str">
        <f t="shared" si="2"/>
        <v>REDOVNA DJELATNOST SVEUČILIŠTA U SPLITU (IZ EVIDENCIJSKIH PRIHODA)</v>
      </c>
      <c r="I16" s="198">
        <v>6000</v>
      </c>
      <c r="J16" s="198">
        <v>6000</v>
      </c>
      <c r="K16" s="198">
        <v>6000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31</v>
      </c>
      <c r="D17" s="149" t="str">
        <f t="shared" si="1"/>
        <v>Vlastiti prihodi</v>
      </c>
      <c r="E17" s="154">
        <v>3231</v>
      </c>
      <c r="F17" s="149" t="str">
        <f t="shared" si="0"/>
        <v>Usluge telefona, pošte i prijevoza</v>
      </c>
      <c r="G17" s="201" t="s">
        <v>200</v>
      </c>
      <c r="H17" s="149" t="str">
        <f t="shared" si="2"/>
        <v>REDOVNA DJELATNOST SVEUČILIŠTA U SPLITU (IZ EVIDENCIJSKIH PRIHODA)</v>
      </c>
      <c r="I17" s="198">
        <v>1500</v>
      </c>
      <c r="J17" s="198">
        <v>1500</v>
      </c>
      <c r="K17" s="198">
        <v>1500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31</v>
      </c>
      <c r="D18" s="149" t="str">
        <f t="shared" si="1"/>
        <v>Vlastiti prihodi</v>
      </c>
      <c r="E18" s="154">
        <v>3232</v>
      </c>
      <c r="F18" s="149" t="str">
        <f t="shared" si="0"/>
        <v>Usluge tekućeg i investicijskog održavanja</v>
      </c>
      <c r="G18" s="201" t="s">
        <v>200</v>
      </c>
      <c r="H18" s="149" t="str">
        <f t="shared" si="2"/>
        <v>REDOVNA DJELATNOST SVEUČILIŠTA U SPLITU (IZ EVIDENCIJSKIH PRIHODA)</v>
      </c>
      <c r="I18" s="198">
        <v>6000</v>
      </c>
      <c r="J18" s="198">
        <v>6000</v>
      </c>
      <c r="K18" s="198">
        <v>6000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31</v>
      </c>
      <c r="D19" s="149" t="str">
        <f t="shared" si="1"/>
        <v>Vlastiti prihodi</v>
      </c>
      <c r="E19" s="154">
        <v>3233</v>
      </c>
      <c r="F19" s="149" t="str">
        <f t="shared" si="0"/>
        <v>Usluge promidžbe i informiranja</v>
      </c>
      <c r="G19" s="201" t="s">
        <v>200</v>
      </c>
      <c r="H19" s="149" t="str">
        <f t="shared" si="2"/>
        <v>REDOVNA DJELATNOST SVEUČILIŠTA U SPLITU (IZ EVIDENCIJSKIH PRIHODA)</v>
      </c>
      <c r="I19" s="198">
        <v>2000</v>
      </c>
      <c r="J19" s="198">
        <v>2000</v>
      </c>
      <c r="K19" s="198">
        <v>2000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31</v>
      </c>
      <c r="D20" s="149" t="str">
        <f t="shared" si="1"/>
        <v>Vlastiti prihodi</v>
      </c>
      <c r="E20" s="154">
        <v>3239</v>
      </c>
      <c r="F20" s="149" t="str">
        <f t="shared" si="0"/>
        <v>Ostale usluge</v>
      </c>
      <c r="G20" s="201" t="s">
        <v>200</v>
      </c>
      <c r="H20" s="149" t="str">
        <f t="shared" si="2"/>
        <v>REDOVNA DJELATNOST SVEUČILIŠTA U SPLITU (IZ EVIDENCIJSKIH PRIHODA)</v>
      </c>
      <c r="I20" s="198">
        <v>4000</v>
      </c>
      <c r="J20" s="198">
        <v>4000</v>
      </c>
      <c r="K20" s="198">
        <v>4000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31</v>
      </c>
      <c r="D21" s="149" t="str">
        <f t="shared" si="1"/>
        <v>Vlastiti prihodi</v>
      </c>
      <c r="E21" s="154">
        <v>3241</v>
      </c>
      <c r="F21" s="149" t="str">
        <f t="shared" si="0"/>
        <v>Naknade troškova osobama izvan radnog odnosa</v>
      </c>
      <c r="G21" s="201" t="s">
        <v>200</v>
      </c>
      <c r="H21" s="149" t="str">
        <f t="shared" si="2"/>
        <v>REDOVNA DJELATNOST SVEUČILIŠTA U SPLITU (IZ EVIDENCIJSKIH PRIHODA)</v>
      </c>
      <c r="I21" s="198">
        <v>2500</v>
      </c>
      <c r="J21" s="198">
        <v>2500</v>
      </c>
      <c r="K21" s="198">
        <v>2500</v>
      </c>
      <c r="M21" s="144" t="str">
        <f t="shared" si="3"/>
        <v>324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31</v>
      </c>
      <c r="D22" s="149" t="str">
        <f t="shared" si="1"/>
        <v>Vlastiti prihodi</v>
      </c>
      <c r="E22" s="154">
        <v>3293</v>
      </c>
      <c r="F22" s="149" t="str">
        <f t="shared" si="0"/>
        <v>Reprezentacija</v>
      </c>
      <c r="G22" s="201" t="s">
        <v>200</v>
      </c>
      <c r="H22" s="149" t="str">
        <f t="shared" si="2"/>
        <v>REDOVNA DJELATNOST SVEUČILIŠTA U SPLITU (IZ EVIDENCIJSKIH PRIHODA)</v>
      </c>
      <c r="I22" s="198">
        <v>5000</v>
      </c>
      <c r="J22" s="198">
        <v>5000</v>
      </c>
      <c r="K22" s="198">
        <v>5000</v>
      </c>
      <c r="M22" s="144" t="str">
        <f t="shared" si="3"/>
        <v>329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31</v>
      </c>
      <c r="D23" s="149" t="str">
        <f t="shared" si="1"/>
        <v>Vlastiti prihodi</v>
      </c>
      <c r="E23" s="154">
        <v>3295</v>
      </c>
      <c r="F23" s="149" t="str">
        <f t="shared" si="0"/>
        <v>Pristojbe i naknade</v>
      </c>
      <c r="G23" s="201" t="s">
        <v>200</v>
      </c>
      <c r="H23" s="149" t="str">
        <f t="shared" si="2"/>
        <v>REDOVNA DJELATNOST SVEUČILIŠTA U SPLITU (IZ EVIDENCIJSKIH PRIHODA)</v>
      </c>
      <c r="I23" s="198">
        <v>500</v>
      </c>
      <c r="J23" s="198">
        <v>500</v>
      </c>
      <c r="K23" s="198">
        <v>500</v>
      </c>
      <c r="M23" s="144" t="str">
        <f t="shared" si="3"/>
        <v>329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31</v>
      </c>
      <c r="D24" s="149" t="str">
        <f t="shared" si="1"/>
        <v>Vlastiti prihodi</v>
      </c>
      <c r="E24" s="154">
        <v>3299</v>
      </c>
      <c r="F24" s="149" t="str">
        <f t="shared" si="0"/>
        <v>Ostali nespomenuti rashodi poslovanja</v>
      </c>
      <c r="G24" s="201" t="s">
        <v>200</v>
      </c>
      <c r="H24" s="149" t="str">
        <f t="shared" si="2"/>
        <v>REDOVNA DJELATNOST SVEUČILIŠTA U SPLITU (IZ EVIDENCIJSKIH PRIHODA)</v>
      </c>
      <c r="I24" s="198">
        <v>5000</v>
      </c>
      <c r="J24" s="198">
        <v>5000</v>
      </c>
      <c r="K24" s="198">
        <v>5000</v>
      </c>
      <c r="M24" s="144" t="str">
        <f t="shared" si="3"/>
        <v>329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31</v>
      </c>
      <c r="D25" s="149" t="str">
        <f t="shared" si="1"/>
        <v>Vlastiti prihodi</v>
      </c>
      <c r="E25" s="154">
        <v>3431</v>
      </c>
      <c r="F25" s="149" t="str">
        <f t="shared" si="0"/>
        <v>Bankarske usluge i usluge platnog prometa</v>
      </c>
      <c r="G25" s="201" t="s">
        <v>200</v>
      </c>
      <c r="H25" s="149" t="str">
        <f t="shared" si="2"/>
        <v>REDOVNA DJELATNOST SVEUČILIŠTA U SPLITU (IZ EVIDENCIJSKIH PRIHODA)</v>
      </c>
      <c r="I25" s="198">
        <v>500</v>
      </c>
      <c r="J25" s="198">
        <v>500</v>
      </c>
      <c r="K25" s="198">
        <v>500</v>
      </c>
      <c r="M25" s="144" t="str">
        <f t="shared" si="3"/>
        <v>343</v>
      </c>
      <c r="N25" s="144" t="str">
        <f t="shared" si="4"/>
        <v>34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31</v>
      </c>
      <c r="D26" s="149" t="str">
        <f t="shared" si="1"/>
        <v>Vlastiti prihodi</v>
      </c>
      <c r="E26" s="154">
        <v>3432</v>
      </c>
      <c r="F26" s="149" t="str">
        <f t="shared" si="0"/>
        <v>Negativne tečajne razlike i razlike zbog primjene valutne kl</v>
      </c>
      <c r="G26" s="201" t="s">
        <v>200</v>
      </c>
      <c r="H26" s="149" t="str">
        <f t="shared" si="2"/>
        <v>REDOVNA DJELATNOST SVEUČILIŠTA U SPLITU (IZ EVIDENCIJSKIH PRIHODA)</v>
      </c>
      <c r="I26" s="198">
        <v>100</v>
      </c>
      <c r="J26" s="198">
        <v>100</v>
      </c>
      <c r="K26" s="198">
        <v>100</v>
      </c>
      <c r="M26" s="144" t="str">
        <f t="shared" si="3"/>
        <v>343</v>
      </c>
      <c r="N26" s="144" t="str">
        <f t="shared" si="4"/>
        <v>34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31</v>
      </c>
      <c r="D27" s="149" t="str">
        <f t="shared" si="1"/>
        <v>Vlastiti prihodi</v>
      </c>
      <c r="E27" s="154">
        <v>4221</v>
      </c>
      <c r="F27" s="149" t="str">
        <f t="shared" si="0"/>
        <v>Uredska oprema i namještaj</v>
      </c>
      <c r="G27" s="201" t="s">
        <v>200</v>
      </c>
      <c r="H27" s="149" t="str">
        <f t="shared" si="2"/>
        <v>REDOVNA DJELATNOST SVEUČILIŠTA U SPLITU (IZ EVIDENCIJSKIH PRIHODA)</v>
      </c>
      <c r="I27" s="198">
        <v>30000</v>
      </c>
      <c r="J27" s="198">
        <v>30000</v>
      </c>
      <c r="K27" s="198">
        <v>30000</v>
      </c>
      <c r="M27" s="144" t="str">
        <f t="shared" si="3"/>
        <v>422</v>
      </c>
      <c r="N27" s="144" t="str">
        <f t="shared" si="4"/>
        <v>42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31</v>
      </c>
      <c r="D28" s="149" t="str">
        <f t="shared" si="1"/>
        <v>Vlastiti prihodi</v>
      </c>
      <c r="E28" s="154">
        <v>4222</v>
      </c>
      <c r="F28" s="149" t="str">
        <f t="shared" si="0"/>
        <v>Komunikacijska oprema</v>
      </c>
      <c r="G28" s="201" t="s">
        <v>200</v>
      </c>
      <c r="H28" s="149" t="str">
        <f t="shared" si="2"/>
        <v>REDOVNA DJELATNOST SVEUČILIŠTA U SPLITU (IZ EVIDENCIJSKIH PRIHODA)</v>
      </c>
      <c r="I28" s="198">
        <v>2000</v>
      </c>
      <c r="J28" s="198">
        <v>2000</v>
      </c>
      <c r="K28" s="198">
        <v>2000</v>
      </c>
      <c r="M28" s="144" t="str">
        <f t="shared" si="3"/>
        <v>422</v>
      </c>
      <c r="N28" s="144" t="str">
        <f t="shared" si="4"/>
        <v>42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31</v>
      </c>
      <c r="D29" s="149" t="str">
        <f t="shared" si="1"/>
        <v>Vlastiti prihodi</v>
      </c>
      <c r="E29" s="154">
        <v>4223</v>
      </c>
      <c r="F29" s="149" t="str">
        <f t="shared" si="0"/>
        <v>Oprema za održavanje i zaštitu</v>
      </c>
      <c r="G29" s="201" t="s">
        <v>200</v>
      </c>
      <c r="H29" s="149" t="str">
        <f t="shared" si="2"/>
        <v>REDOVNA DJELATNOST SVEUČILIŠTA U SPLITU (IZ EVIDENCIJSKIH PRIHODA)</v>
      </c>
      <c r="I29" s="198">
        <v>1500</v>
      </c>
      <c r="J29" s="198">
        <v>1500</v>
      </c>
      <c r="K29" s="198">
        <v>1500</v>
      </c>
      <c r="M29" s="144" t="str">
        <f t="shared" si="3"/>
        <v>422</v>
      </c>
      <c r="N29" s="144" t="str">
        <f t="shared" si="4"/>
        <v>42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31</v>
      </c>
      <c r="D30" s="149" t="str">
        <f t="shared" si="1"/>
        <v>Vlastiti prihodi</v>
      </c>
      <c r="E30" s="154">
        <v>4224</v>
      </c>
      <c r="F30" s="149" t="str">
        <f t="shared" si="0"/>
        <v>Medicinska i laboratorijska oprema</v>
      </c>
      <c r="G30" s="201" t="s">
        <v>200</v>
      </c>
      <c r="H30" s="149" t="str">
        <f t="shared" si="2"/>
        <v>REDOVNA DJELATNOST SVEUČILIŠTA U SPLITU (IZ EVIDENCIJSKIH PRIHODA)</v>
      </c>
      <c r="I30" s="198">
        <v>20000</v>
      </c>
      <c r="J30" s="198">
        <v>20000</v>
      </c>
      <c r="K30" s="198">
        <v>20000</v>
      </c>
      <c r="M30" s="144" t="str">
        <f t="shared" si="3"/>
        <v>422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4225</v>
      </c>
      <c r="F31" s="149" t="str">
        <f t="shared" si="0"/>
        <v>Instrumenti, uređaji i strojevi</v>
      </c>
      <c r="G31" s="201" t="s">
        <v>200</v>
      </c>
      <c r="H31" s="149" t="str">
        <f t="shared" si="2"/>
        <v>REDOVNA DJELATNOST SVEUČILIŠTA U SPLITU (IZ EVIDENCIJSKIH PRIHODA)</v>
      </c>
      <c r="I31" s="198">
        <v>5000</v>
      </c>
      <c r="J31" s="198">
        <v>5000</v>
      </c>
      <c r="K31" s="198">
        <v>5000</v>
      </c>
      <c r="M31" s="144" t="str">
        <f t="shared" si="3"/>
        <v>422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4227</v>
      </c>
      <c r="F32" s="149" t="str">
        <f t="shared" si="0"/>
        <v>Uređaji, strojevi i oprema za ostale namjene</v>
      </c>
      <c r="G32" s="201" t="s">
        <v>200</v>
      </c>
      <c r="H32" s="149" t="str">
        <f t="shared" si="2"/>
        <v>REDOVNA DJELATNOST SVEUČILIŠTA U SPLITU (IZ EVIDENCIJSKIH PRIHODA)</v>
      </c>
      <c r="I32" s="198">
        <v>2000</v>
      </c>
      <c r="J32" s="198">
        <v>2000</v>
      </c>
      <c r="K32" s="198">
        <v>2000</v>
      </c>
      <c r="M32" s="144" t="str">
        <f t="shared" si="3"/>
        <v>422</v>
      </c>
      <c r="N32" s="144" t="str">
        <f t="shared" si="4"/>
        <v>42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4241</v>
      </c>
      <c r="F33" s="149" t="str">
        <f t="shared" si="0"/>
        <v>Knjige</v>
      </c>
      <c r="G33" s="201" t="s">
        <v>200</v>
      </c>
      <c r="H33" s="149" t="str">
        <f t="shared" si="2"/>
        <v>REDOVNA DJELATNOST SVEUČILIŠTA U SPLITU (IZ EVIDENCIJSKIH PRIHODA)</v>
      </c>
      <c r="I33" s="198">
        <v>2000</v>
      </c>
      <c r="J33" s="198">
        <v>2000</v>
      </c>
      <c r="K33" s="198">
        <v>2000</v>
      </c>
      <c r="M33" s="144" t="str">
        <f t="shared" si="3"/>
        <v>424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4242</v>
      </c>
      <c r="F34" s="149" t="str">
        <f t="shared" si="0"/>
        <v>Umjetnička djela (izložena u galerijama, muzejima i slično)</v>
      </c>
      <c r="G34" s="201" t="s">
        <v>200</v>
      </c>
      <c r="H34" s="149" t="str">
        <f t="shared" si="2"/>
        <v>REDOVNA DJELATNOST SVEUČILIŠTA U SPLITU (IZ EVIDENCIJSKIH PRIHODA)</v>
      </c>
      <c r="I34" s="198">
        <v>1000</v>
      </c>
      <c r="J34" s="198">
        <v>1000</v>
      </c>
      <c r="K34" s="198">
        <v>1000</v>
      </c>
      <c r="M34" s="144" t="str">
        <f t="shared" si="3"/>
        <v>424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31</v>
      </c>
      <c r="D35" s="149" t="str">
        <f t="shared" si="1"/>
        <v>Vlastiti prihodi</v>
      </c>
      <c r="E35" s="154">
        <v>4262</v>
      </c>
      <c r="F35" s="149" t="str">
        <f t="shared" si="0"/>
        <v>Ulaganja u računalne programe</v>
      </c>
      <c r="G35" s="201" t="s">
        <v>200</v>
      </c>
      <c r="H35" s="149" t="str">
        <f t="shared" si="2"/>
        <v>REDOVNA DJELATNOST SVEUČILIŠTA U SPLITU (IZ EVIDENCIJSKIH PRIHODA)</v>
      </c>
      <c r="I35" s="198">
        <v>5000</v>
      </c>
      <c r="J35" s="198">
        <v>5000</v>
      </c>
      <c r="K35" s="198">
        <v>5000</v>
      </c>
      <c r="M35" s="144" t="str">
        <f t="shared" si="3"/>
        <v>426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31</v>
      </c>
      <c r="D36" s="149" t="str">
        <f t="shared" si="1"/>
        <v>Vlastiti prihodi</v>
      </c>
      <c r="E36" s="154">
        <v>4124</v>
      </c>
      <c r="F36" s="149" t="str">
        <f t="shared" si="0"/>
        <v>Ostala prava</v>
      </c>
      <c r="G36" s="201" t="s">
        <v>200</v>
      </c>
      <c r="H36" s="149" t="str">
        <f t="shared" si="2"/>
        <v>REDOVNA DJELATNOST SVEUČILIŠTA U SPLITU (IZ EVIDENCIJSKIH PRIHODA)</v>
      </c>
      <c r="I36" s="198">
        <v>1500</v>
      </c>
      <c r="J36" s="198">
        <v>1500</v>
      </c>
      <c r="K36" s="198">
        <v>1500</v>
      </c>
      <c r="M36" s="144" t="str">
        <f t="shared" si="3"/>
        <v>412</v>
      </c>
      <c r="N36" s="144" t="str">
        <f t="shared" si="4"/>
        <v>41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3111</v>
      </c>
      <c r="F37" s="149" t="str">
        <f t="shared" si="0"/>
        <v>Plaće za redovan rad</v>
      </c>
      <c r="G37" s="201" t="s">
        <v>864</v>
      </c>
      <c r="H37" s="149" t="str">
        <f t="shared" si="2"/>
        <v>PROGRAMSKO FINANCIRANJE JAVNIH VISOKIH UČILIŠTA</v>
      </c>
      <c r="I37" s="198">
        <v>350000</v>
      </c>
      <c r="J37" s="198">
        <v>350000</v>
      </c>
      <c r="K37" s="198">
        <v>350000</v>
      </c>
      <c r="M37" s="144" t="str">
        <f t="shared" si="3"/>
        <v>311</v>
      </c>
      <c r="N37" s="144" t="str">
        <f t="shared" si="4"/>
        <v>31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"/>
        <v>Opći prihodi i primici</v>
      </c>
      <c r="E38" s="154">
        <v>3132</v>
      </c>
      <c r="F38" s="149" t="str">
        <f t="shared" si="0"/>
        <v>Doprinosi za obvezno zdravstveno osiguranje</v>
      </c>
      <c r="G38" s="201" t="s">
        <v>864</v>
      </c>
      <c r="H38" s="149" t="str">
        <f t="shared" si="2"/>
        <v>PROGRAMSKO FINANCIRANJE JAVNIH VISOKIH UČILIŠTA</v>
      </c>
      <c r="I38" s="198">
        <v>57750</v>
      </c>
      <c r="J38" s="198">
        <v>57750</v>
      </c>
      <c r="K38" s="198">
        <v>57750</v>
      </c>
      <c r="M38" s="144" t="str">
        <f t="shared" si="3"/>
        <v>313</v>
      </c>
      <c r="N38" s="144" t="str">
        <f t="shared" si="4"/>
        <v>31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"/>
        <v>Opći prihodi i primici</v>
      </c>
      <c r="E39" s="154">
        <v>3211</v>
      </c>
      <c r="F39" s="149" t="str">
        <f t="shared" si="0"/>
        <v>Službena putovanja</v>
      </c>
      <c r="G39" s="201" t="s">
        <v>864</v>
      </c>
      <c r="H39" s="149" t="str">
        <f t="shared" si="2"/>
        <v>PROGRAMSKO FINANCIRANJE JAVNIH VISOKIH UČILIŠTA</v>
      </c>
      <c r="I39" s="198">
        <v>250000</v>
      </c>
      <c r="J39" s="198">
        <v>450000</v>
      </c>
      <c r="K39" s="198">
        <v>450000</v>
      </c>
      <c r="M39" s="144" t="str">
        <f t="shared" si="3"/>
        <v>321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"/>
        <v>Opći prihodi i primici</v>
      </c>
      <c r="E40" s="154">
        <v>3212</v>
      </c>
      <c r="F40" s="149" t="str">
        <f t="shared" si="0"/>
        <v>Naknade za prijevoz, za rad na terenu i odvojeni život</v>
      </c>
      <c r="G40" s="201" t="s">
        <v>864</v>
      </c>
      <c r="H40" s="149" t="str">
        <f t="shared" si="2"/>
        <v>PROGRAMSKO FINANCIRANJE JAVNIH VISOKIH UČILIŠTA</v>
      </c>
      <c r="I40" s="198">
        <v>6000</v>
      </c>
      <c r="J40" s="198">
        <v>6000</v>
      </c>
      <c r="K40" s="198">
        <v>6000</v>
      </c>
      <c r="M40" s="144" t="str">
        <f t="shared" si="3"/>
        <v>321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11</v>
      </c>
      <c r="D41" s="149" t="str">
        <f t="shared" si="1"/>
        <v>Opći prihodi i primici</v>
      </c>
      <c r="E41" s="154">
        <v>3121</v>
      </c>
      <c r="F41" s="149" t="str">
        <f t="shared" si="0"/>
        <v>Ostali rashodi za zaposlene</v>
      </c>
      <c r="G41" s="201" t="s">
        <v>864</v>
      </c>
      <c r="H41" s="149" t="str">
        <f t="shared" si="2"/>
        <v>PROGRAMSKO FINANCIRANJE JAVNIH VISOKIH UČILIŠTA</v>
      </c>
      <c r="I41" s="198">
        <v>54000</v>
      </c>
      <c r="J41" s="198">
        <v>54000</v>
      </c>
      <c r="K41" s="198">
        <v>54000</v>
      </c>
      <c r="M41" s="144" t="str">
        <f t="shared" si="3"/>
        <v>312</v>
      </c>
      <c r="N41" s="144" t="str">
        <f t="shared" si="4"/>
        <v>31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11</v>
      </c>
      <c r="D42" s="149" t="str">
        <f t="shared" si="1"/>
        <v>Opći prihodi i primici</v>
      </c>
      <c r="E42" s="154">
        <v>3213</v>
      </c>
      <c r="F42" s="149" t="str">
        <f t="shared" si="0"/>
        <v>Stručno usavršavanje zaposlenika</v>
      </c>
      <c r="G42" s="201" t="s">
        <v>864</v>
      </c>
      <c r="H42" s="149" t="str">
        <f t="shared" si="2"/>
        <v>PROGRAMSKO FINANCIRANJE JAVNIH VISOKIH UČILIŠTA</v>
      </c>
      <c r="I42" s="198">
        <v>80000</v>
      </c>
      <c r="J42" s="198">
        <v>120000</v>
      </c>
      <c r="K42" s="198">
        <v>120000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11</v>
      </c>
      <c r="D43" s="149" t="str">
        <f t="shared" si="1"/>
        <v>Opći prihodi i primici</v>
      </c>
      <c r="E43" s="154">
        <v>3221</v>
      </c>
      <c r="F43" s="149" t="str">
        <f t="shared" si="0"/>
        <v>Uredski materijal i ostali materijalni rashodi</v>
      </c>
      <c r="G43" s="201" t="s">
        <v>864</v>
      </c>
      <c r="H43" s="149" t="str">
        <f t="shared" si="2"/>
        <v>PROGRAMSKO FINANCIRANJE JAVNIH VISOKIH UČILIŠTA</v>
      </c>
      <c r="I43" s="198">
        <v>250000</v>
      </c>
      <c r="J43" s="198">
        <v>310000</v>
      </c>
      <c r="K43" s="198">
        <v>310000</v>
      </c>
      <c r="M43" s="144" t="str">
        <f t="shared" si="3"/>
        <v>322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11</v>
      </c>
      <c r="D44" s="149" t="str">
        <f t="shared" si="1"/>
        <v>Opći prihodi i primici</v>
      </c>
      <c r="E44" s="154">
        <v>3223</v>
      </c>
      <c r="F44" s="149" t="str">
        <f t="shared" si="0"/>
        <v>Energija</v>
      </c>
      <c r="G44" s="201" t="s">
        <v>864</v>
      </c>
      <c r="H44" s="149" t="str">
        <f t="shared" si="2"/>
        <v>PROGRAMSKO FINANCIRANJE JAVNIH VISOKIH UČILIŠTA</v>
      </c>
      <c r="I44" s="198">
        <v>578354</v>
      </c>
      <c r="J44" s="198">
        <v>600000</v>
      </c>
      <c r="K44" s="198">
        <v>600000</v>
      </c>
      <c r="M44" s="144" t="str">
        <f t="shared" si="3"/>
        <v>322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11</v>
      </c>
      <c r="D45" s="149" t="str">
        <f t="shared" si="1"/>
        <v>Opći prihodi i primici</v>
      </c>
      <c r="E45" s="154">
        <v>3224</v>
      </c>
      <c r="F45" s="149" t="str">
        <f t="shared" si="0"/>
        <v>Materijal i dijelovi za tekuće i investicijsko održavanje</v>
      </c>
      <c r="G45" s="201" t="s">
        <v>864</v>
      </c>
      <c r="H45" s="149" t="str">
        <f t="shared" si="2"/>
        <v>PROGRAMSKO FINANCIRANJE JAVNIH VISOKIH UČILIŠTA</v>
      </c>
      <c r="I45" s="198">
        <v>50000</v>
      </c>
      <c r="J45" s="198">
        <v>50000</v>
      </c>
      <c r="K45" s="198">
        <v>50000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11</v>
      </c>
      <c r="D46" s="149" t="str">
        <f t="shared" si="1"/>
        <v>Opći prihodi i primici</v>
      </c>
      <c r="E46" s="154">
        <v>3225</v>
      </c>
      <c r="F46" s="149" t="str">
        <f t="shared" si="0"/>
        <v>Sitni inventar i auto gume</v>
      </c>
      <c r="G46" s="201" t="s">
        <v>864</v>
      </c>
      <c r="H46" s="149" t="str">
        <f t="shared" si="2"/>
        <v>PROGRAMSKO FINANCIRANJE JAVNIH VISOKIH UČILIŠTA</v>
      </c>
      <c r="I46" s="198">
        <v>5000</v>
      </c>
      <c r="J46" s="198">
        <v>5483</v>
      </c>
      <c r="K46" s="198">
        <v>5483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11</v>
      </c>
      <c r="D47" s="149" t="str">
        <f t="shared" si="1"/>
        <v>Opći prihodi i primici</v>
      </c>
      <c r="E47" s="154">
        <v>3227</v>
      </c>
      <c r="F47" s="149" t="str">
        <f t="shared" si="0"/>
        <v>Službena, radna i zaštitna odjeća i obuća</v>
      </c>
      <c r="G47" s="201" t="s">
        <v>864</v>
      </c>
      <c r="H47" s="149" t="str">
        <f t="shared" si="2"/>
        <v>PROGRAMSKO FINANCIRANJE JAVNIH VISOKIH UČILIŠTA</v>
      </c>
      <c r="I47" s="198">
        <v>25000</v>
      </c>
      <c r="J47" s="198">
        <v>25000</v>
      </c>
      <c r="K47" s="198">
        <v>25000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11</v>
      </c>
      <c r="D48" s="149" t="str">
        <f t="shared" si="1"/>
        <v>Opći prihodi i primici</v>
      </c>
      <c r="E48" s="154">
        <v>3231</v>
      </c>
      <c r="F48" s="149" t="str">
        <f t="shared" si="0"/>
        <v>Usluge telefona, pošte i prijevoza</v>
      </c>
      <c r="G48" s="201" t="s">
        <v>864</v>
      </c>
      <c r="H48" s="149" t="str">
        <f t="shared" si="2"/>
        <v>PROGRAMSKO FINANCIRANJE JAVNIH VISOKIH UČILIŠTA</v>
      </c>
      <c r="I48" s="198">
        <v>41000</v>
      </c>
      <c r="J48" s="198">
        <v>41000</v>
      </c>
      <c r="K48" s="198">
        <v>41000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11</v>
      </c>
      <c r="D49" s="149" t="str">
        <f t="shared" si="1"/>
        <v>Opći prihodi i primici</v>
      </c>
      <c r="E49" s="154">
        <v>3232</v>
      </c>
      <c r="F49" s="149" t="str">
        <f t="shared" si="0"/>
        <v>Usluge tekućeg i investicijskog održavanja</v>
      </c>
      <c r="G49" s="201" t="s">
        <v>864</v>
      </c>
      <c r="H49" s="149" t="str">
        <f t="shared" si="2"/>
        <v>PROGRAMSKO FINANCIRANJE JAVNIH VISOKIH UČILIŠTA</v>
      </c>
      <c r="I49" s="198">
        <v>300000</v>
      </c>
      <c r="J49" s="198">
        <v>300000</v>
      </c>
      <c r="K49" s="198">
        <v>300000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11</v>
      </c>
      <c r="D50" s="149" t="str">
        <f t="shared" si="1"/>
        <v>Opći prihodi i primici</v>
      </c>
      <c r="E50" s="154">
        <v>3233</v>
      </c>
      <c r="F50" s="149" t="str">
        <f t="shared" si="0"/>
        <v>Usluge promidžbe i informiranja</v>
      </c>
      <c r="G50" s="201" t="s">
        <v>864</v>
      </c>
      <c r="H50" s="149" t="str">
        <f t="shared" si="2"/>
        <v>PROGRAMSKO FINANCIRANJE JAVNIH VISOKIH UČILIŠTA</v>
      </c>
      <c r="I50" s="198">
        <v>60000</v>
      </c>
      <c r="J50" s="198">
        <v>60000</v>
      </c>
      <c r="K50" s="198">
        <v>60000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11</v>
      </c>
      <c r="D51" s="149" t="str">
        <f t="shared" si="1"/>
        <v>Opći prihodi i primici</v>
      </c>
      <c r="E51" s="154">
        <v>3234</v>
      </c>
      <c r="F51" s="149" t="str">
        <f t="shared" si="0"/>
        <v>Komunalne usluge</v>
      </c>
      <c r="G51" s="201" t="s">
        <v>864</v>
      </c>
      <c r="H51" s="149" t="str">
        <f t="shared" si="2"/>
        <v>PROGRAMSKO FINANCIRANJE JAVNIH VISOKIH UČILIŠTA</v>
      </c>
      <c r="I51" s="198">
        <v>126000</v>
      </c>
      <c r="J51" s="198">
        <v>126000</v>
      </c>
      <c r="K51" s="198">
        <v>126000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11</v>
      </c>
      <c r="D52" s="149" t="str">
        <f t="shared" si="1"/>
        <v>Opći prihodi i primici</v>
      </c>
      <c r="E52" s="154">
        <v>3235</v>
      </c>
      <c r="F52" s="149" t="str">
        <f t="shared" si="0"/>
        <v>Zakupnine i najamnine</v>
      </c>
      <c r="G52" s="201" t="s">
        <v>864</v>
      </c>
      <c r="H52" s="149" t="str">
        <f t="shared" si="2"/>
        <v>PROGRAMSKO FINANCIRANJE JAVNIH VISOKIH UČILIŠTA</v>
      </c>
      <c r="I52" s="198">
        <v>55000</v>
      </c>
      <c r="J52" s="198">
        <v>60000</v>
      </c>
      <c r="K52" s="198">
        <v>60000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11</v>
      </c>
      <c r="D53" s="149" t="str">
        <f t="shared" si="1"/>
        <v>Opći prihodi i primici</v>
      </c>
      <c r="E53" s="154">
        <v>3236</v>
      </c>
      <c r="F53" s="149" t="str">
        <f t="shared" si="0"/>
        <v>Zdravstvene i veterinarske usluge</v>
      </c>
      <c r="G53" s="201" t="s">
        <v>864</v>
      </c>
      <c r="H53" s="149" t="str">
        <f t="shared" si="2"/>
        <v>PROGRAMSKO FINANCIRANJE JAVNIH VISOKIH UČILIŠTA</v>
      </c>
      <c r="I53" s="198">
        <v>12000</v>
      </c>
      <c r="J53" s="198">
        <v>12000</v>
      </c>
      <c r="K53" s="198">
        <v>12000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11</v>
      </c>
      <c r="D54" s="149" t="str">
        <f t="shared" si="1"/>
        <v>Opći prihodi i primici</v>
      </c>
      <c r="E54" s="154">
        <v>3237</v>
      </c>
      <c r="F54" s="149" t="str">
        <f t="shared" si="0"/>
        <v>Intelektualne i osobne usluge</v>
      </c>
      <c r="G54" s="201" t="s">
        <v>864</v>
      </c>
      <c r="H54" s="149" t="str">
        <f t="shared" si="2"/>
        <v>PROGRAMSKO FINANCIRANJE JAVNIH VISOKIH UČILIŠTA</v>
      </c>
      <c r="I54" s="198">
        <v>300000</v>
      </c>
      <c r="J54" s="198">
        <v>300000</v>
      </c>
      <c r="K54" s="198">
        <v>300000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11</v>
      </c>
      <c r="D55" s="149" t="str">
        <f t="shared" si="1"/>
        <v>Opći prihodi i primici</v>
      </c>
      <c r="E55" s="154">
        <v>3238</v>
      </c>
      <c r="F55" s="149" t="str">
        <f t="shared" si="0"/>
        <v>Računalne usluge</v>
      </c>
      <c r="G55" s="201" t="s">
        <v>864</v>
      </c>
      <c r="H55" s="149" t="str">
        <f t="shared" si="2"/>
        <v>PROGRAMSKO FINANCIRANJE JAVNIH VISOKIH UČILIŠTA</v>
      </c>
      <c r="I55" s="198">
        <v>22000</v>
      </c>
      <c r="J55" s="198">
        <v>22000</v>
      </c>
      <c r="K55" s="198">
        <v>22000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11</v>
      </c>
      <c r="D56" s="149" t="str">
        <f t="shared" si="1"/>
        <v>Opći prihodi i primici</v>
      </c>
      <c r="E56" s="154">
        <v>3239</v>
      </c>
      <c r="F56" s="149" t="str">
        <f t="shared" si="0"/>
        <v>Ostale usluge</v>
      </c>
      <c r="G56" s="201" t="s">
        <v>864</v>
      </c>
      <c r="H56" s="149" t="str">
        <f t="shared" si="2"/>
        <v>PROGRAMSKO FINANCIRANJE JAVNIH VISOKIH UČILIŠTA</v>
      </c>
      <c r="I56" s="198">
        <v>289647</v>
      </c>
      <c r="J56" s="198">
        <v>300000</v>
      </c>
      <c r="K56" s="198">
        <v>300000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11</v>
      </c>
      <c r="D57" s="149" t="str">
        <f t="shared" si="1"/>
        <v>Opći prihodi i primici</v>
      </c>
      <c r="E57" s="154">
        <v>3241</v>
      </c>
      <c r="F57" s="149" t="str">
        <f t="shared" si="0"/>
        <v>Naknade troškova osobama izvan radnog odnosa</v>
      </c>
      <c r="G57" s="201" t="s">
        <v>864</v>
      </c>
      <c r="H57" s="149" t="str">
        <f t="shared" si="2"/>
        <v>PROGRAMSKO FINANCIRANJE JAVNIH VISOKIH UČILIŠTA</v>
      </c>
      <c r="I57" s="198">
        <v>40000</v>
      </c>
      <c r="J57" s="198">
        <v>45000</v>
      </c>
      <c r="K57" s="198">
        <v>45000</v>
      </c>
      <c r="M57" s="144" t="str">
        <f t="shared" si="3"/>
        <v>324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11</v>
      </c>
      <c r="D58" s="149" t="str">
        <f t="shared" si="1"/>
        <v>Opći prihodi i primici</v>
      </c>
      <c r="E58" s="154">
        <v>3293</v>
      </c>
      <c r="F58" s="149" t="str">
        <f t="shared" si="0"/>
        <v>Reprezentacija</v>
      </c>
      <c r="G58" s="201" t="s">
        <v>864</v>
      </c>
      <c r="H58" s="149" t="str">
        <f t="shared" si="2"/>
        <v>PROGRAMSKO FINANCIRANJE JAVNIH VISOKIH UČILIŠTA</v>
      </c>
      <c r="I58" s="198">
        <v>25000</v>
      </c>
      <c r="J58" s="198">
        <v>25000</v>
      </c>
      <c r="K58" s="198">
        <v>25000</v>
      </c>
      <c r="M58" s="144" t="str">
        <f t="shared" si="3"/>
        <v>329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11</v>
      </c>
      <c r="D59" s="149" t="str">
        <f t="shared" si="1"/>
        <v>Opći prihodi i primici</v>
      </c>
      <c r="E59" s="154">
        <v>3294</v>
      </c>
      <c r="F59" s="149" t="str">
        <f t="shared" si="0"/>
        <v>Članarine i norme</v>
      </c>
      <c r="G59" s="201" t="s">
        <v>864</v>
      </c>
      <c r="H59" s="149" t="str">
        <f t="shared" si="2"/>
        <v>PROGRAMSKO FINANCIRANJE JAVNIH VISOKIH UČILIŠTA</v>
      </c>
      <c r="I59" s="198">
        <v>3000</v>
      </c>
      <c r="J59" s="198">
        <v>3000</v>
      </c>
      <c r="K59" s="198">
        <v>3000</v>
      </c>
      <c r="M59" s="144" t="str">
        <f t="shared" si="3"/>
        <v>329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11</v>
      </c>
      <c r="D60" s="149" t="str">
        <f t="shared" si="1"/>
        <v>Opći prihodi i primici</v>
      </c>
      <c r="E60" s="154">
        <v>3299</v>
      </c>
      <c r="F60" s="149" t="str">
        <f t="shared" si="0"/>
        <v>Ostali nespomenuti rashodi poslovanja</v>
      </c>
      <c r="G60" s="201" t="s">
        <v>864</v>
      </c>
      <c r="H60" s="149" t="str">
        <f t="shared" si="2"/>
        <v>PROGRAMSKO FINANCIRANJE JAVNIH VISOKIH UČILIŠTA</v>
      </c>
      <c r="I60" s="198">
        <v>45000</v>
      </c>
      <c r="J60" s="198">
        <v>45000</v>
      </c>
      <c r="K60" s="198">
        <v>45000</v>
      </c>
      <c r="M60" s="144" t="str">
        <f t="shared" si="3"/>
        <v>329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11</v>
      </c>
      <c r="D61" s="149" t="str">
        <f t="shared" si="1"/>
        <v>Opći prihodi i primici</v>
      </c>
      <c r="E61" s="154">
        <v>3431</v>
      </c>
      <c r="F61" s="149" t="str">
        <f t="shared" si="0"/>
        <v>Bankarske usluge i usluge platnog prometa</v>
      </c>
      <c r="G61" s="201" t="s">
        <v>864</v>
      </c>
      <c r="H61" s="149" t="str">
        <f t="shared" si="2"/>
        <v>PROGRAMSKO FINANCIRANJE JAVNIH VISOKIH UČILIŠTA</v>
      </c>
      <c r="I61" s="198">
        <v>14000</v>
      </c>
      <c r="J61" s="198">
        <v>16000</v>
      </c>
      <c r="K61" s="198">
        <v>16000</v>
      </c>
      <c r="M61" s="144" t="str">
        <f t="shared" si="3"/>
        <v>343</v>
      </c>
      <c r="N61" s="144" t="str">
        <f t="shared" si="4"/>
        <v>34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11</v>
      </c>
      <c r="D62" s="149" t="str">
        <f t="shared" si="1"/>
        <v>Opći prihodi i primici</v>
      </c>
      <c r="E62" s="154">
        <v>3432</v>
      </c>
      <c r="F62" s="149" t="str">
        <f t="shared" si="0"/>
        <v>Negativne tečajne razlike i razlike zbog primjene valutne kl</v>
      </c>
      <c r="G62" s="201" t="s">
        <v>864</v>
      </c>
      <c r="H62" s="149" t="str">
        <f t="shared" si="2"/>
        <v>PROGRAMSKO FINANCIRANJE JAVNIH VISOKIH UČILIŠTA</v>
      </c>
      <c r="I62" s="198">
        <v>100</v>
      </c>
      <c r="J62" s="198">
        <v>100</v>
      </c>
      <c r="K62" s="198">
        <v>100</v>
      </c>
      <c r="M62" s="144" t="str">
        <f t="shared" si="3"/>
        <v>343</v>
      </c>
      <c r="N62" s="144" t="str">
        <f t="shared" si="4"/>
        <v>34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11</v>
      </c>
      <c r="D63" s="149" t="str">
        <f t="shared" si="1"/>
        <v>Opći prihodi i primici</v>
      </c>
      <c r="E63" s="154">
        <v>3721</v>
      </c>
      <c r="F63" s="149" t="str">
        <f t="shared" si="0"/>
        <v>Naknade građanima i kućanstvima u novcu</v>
      </c>
      <c r="G63" s="201" t="s">
        <v>864</v>
      </c>
      <c r="H63" s="149" t="str">
        <f t="shared" si="2"/>
        <v>PROGRAMSKO FINANCIRANJE JAVNIH VISOKIH UČILIŠTA</v>
      </c>
      <c r="I63" s="198">
        <v>36000</v>
      </c>
      <c r="J63" s="198">
        <v>36000</v>
      </c>
      <c r="K63" s="198">
        <v>36000</v>
      </c>
      <c r="M63" s="144" t="str">
        <f t="shared" si="3"/>
        <v>372</v>
      </c>
      <c r="N63" s="144" t="str">
        <f t="shared" si="4"/>
        <v>37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11</v>
      </c>
      <c r="D64" s="149" t="str">
        <f t="shared" si="1"/>
        <v>Opći prihodi i primici</v>
      </c>
      <c r="E64" s="154">
        <v>3722</v>
      </c>
      <c r="F64" s="149" t="str">
        <f t="shared" si="0"/>
        <v>Naknade građanima i kućanstvima u naravi</v>
      </c>
      <c r="G64" s="201" t="s">
        <v>864</v>
      </c>
      <c r="H64" s="149" t="str">
        <f t="shared" si="2"/>
        <v>PROGRAMSKO FINANCIRANJE JAVNIH VISOKIH UČILIŠTA</v>
      </c>
      <c r="I64" s="198">
        <v>8000</v>
      </c>
      <c r="J64" s="198">
        <v>8000</v>
      </c>
      <c r="K64" s="198">
        <v>8000</v>
      </c>
      <c r="M64" s="144" t="str">
        <f t="shared" si="3"/>
        <v>372</v>
      </c>
      <c r="N64" s="144" t="str">
        <f t="shared" si="4"/>
        <v>37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11</v>
      </c>
      <c r="D65" s="149" t="str">
        <f t="shared" si="1"/>
        <v>Opći prihodi i primici</v>
      </c>
      <c r="E65" s="154">
        <v>3811</v>
      </c>
      <c r="F65" s="149" t="str">
        <f t="shared" si="0"/>
        <v>Tekuće donacije u novcu</v>
      </c>
      <c r="G65" s="201" t="s">
        <v>864</v>
      </c>
      <c r="H65" s="149" t="str">
        <f t="shared" si="2"/>
        <v>PROGRAMSKO FINANCIRANJE JAVNIH VISOKIH UČILIŠTA</v>
      </c>
      <c r="I65" s="198">
        <v>2000</v>
      </c>
      <c r="J65" s="198">
        <v>2000</v>
      </c>
      <c r="K65" s="198">
        <v>2000</v>
      </c>
      <c r="M65" s="144" t="str">
        <f t="shared" si="3"/>
        <v>381</v>
      </c>
      <c r="N65" s="144" t="str">
        <f t="shared" si="4"/>
        <v>38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43</v>
      </c>
      <c r="D66" s="149" t="str">
        <f t="shared" si="1"/>
        <v>Ostali prihodi za posebne namjene</v>
      </c>
      <c r="E66" s="154">
        <v>3111</v>
      </c>
      <c r="F66" s="149" t="str">
        <f t="shared" si="0"/>
        <v>Plaće za redovan rad</v>
      </c>
      <c r="G66" s="201" t="s">
        <v>200</v>
      </c>
      <c r="H66" s="149" t="str">
        <f t="shared" si="2"/>
        <v>REDOVNA DJELATNOST SVEUČILIŠTA U SPLITU (IZ EVIDENCIJSKIH PRIHODA)</v>
      </c>
      <c r="I66" s="198">
        <v>628150</v>
      </c>
      <c r="J66" s="198">
        <v>698150</v>
      </c>
      <c r="K66" s="198">
        <v>628150</v>
      </c>
      <c r="M66" s="144" t="str">
        <f t="shared" si="3"/>
        <v>311</v>
      </c>
      <c r="N66" s="144" t="str">
        <f t="shared" si="4"/>
        <v>31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43</v>
      </c>
      <c r="D67" s="149" t="str">
        <f t="shared" si="1"/>
        <v>Ostali prihodi za posebne namjene</v>
      </c>
      <c r="E67" s="154">
        <v>3132</v>
      </c>
      <c r="F67" s="149" t="str">
        <f t="shared" ref="F67:F130" si="11">IFERROR(VLOOKUP(E67,$R$5:$T$129,2,FALSE),"")</f>
        <v>Doprinosi za obvezno zdravstveno osiguranje</v>
      </c>
      <c r="G67" s="201" t="s">
        <v>200</v>
      </c>
      <c r="H67" s="149" t="str">
        <f t="shared" si="2"/>
        <v>REDOVNA DJELATNOST SVEUČILIŠTA U SPLITU (IZ EVIDENCIJSKIH PRIHODA)</v>
      </c>
      <c r="I67" s="198">
        <v>103645</v>
      </c>
      <c r="J67" s="198">
        <v>115195</v>
      </c>
      <c r="K67" s="198">
        <v>103645</v>
      </c>
      <c r="M67" s="144" t="str">
        <f t="shared" si="3"/>
        <v>313</v>
      </c>
      <c r="N67" s="144" t="str">
        <f t="shared" si="4"/>
        <v>31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43</v>
      </c>
      <c r="D68" s="149" t="str">
        <f t="shared" ref="D68:D131" si="12">IFERROR(VLOOKUP(C68,$O$6:$P$16,2,FALSE),"")</f>
        <v>Ostali prihodi za posebne namjene</v>
      </c>
      <c r="E68" s="154">
        <v>3121</v>
      </c>
      <c r="F68" s="149" t="str">
        <f t="shared" si="11"/>
        <v>Ostali rashodi za zaposlene</v>
      </c>
      <c r="G68" s="201" t="s">
        <v>200</v>
      </c>
      <c r="H68" s="149" t="str">
        <f t="shared" ref="H68:H131" si="13">IFERROR(VLOOKUP(G68,$X$6:$Y$50,2,FALSE),"")</f>
        <v>REDOVNA DJELATNOST SVEUČILIŠTA U SPLITU (IZ EVIDENCIJSKIH PRIHODA)</v>
      </c>
      <c r="I68" s="198">
        <v>25000</v>
      </c>
      <c r="J68" s="198">
        <v>25000</v>
      </c>
      <c r="K68" s="198">
        <v>25000</v>
      </c>
      <c r="M68" s="144" t="str">
        <f t="shared" ref="M68:M131" si="14">LEFT(E68,3)</f>
        <v>312</v>
      </c>
      <c r="N68" s="144" t="str">
        <f t="shared" ref="N68:N131" si="15">LEFT(E68,2)</f>
        <v>31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43</v>
      </c>
      <c r="D69" s="149" t="str">
        <f t="shared" si="12"/>
        <v>Ostali prihodi za posebne namjene</v>
      </c>
      <c r="E69" s="154">
        <v>3211</v>
      </c>
      <c r="F69" s="149" t="str">
        <f t="shared" si="11"/>
        <v>Službena putovanja</v>
      </c>
      <c r="G69" s="201" t="s">
        <v>200</v>
      </c>
      <c r="H69" s="149" t="str">
        <f t="shared" si="13"/>
        <v>REDOVNA DJELATNOST SVEUČILIŠTA U SPLITU (IZ EVIDENCIJSKIH PRIHODA)</v>
      </c>
      <c r="I69" s="198">
        <v>247000</v>
      </c>
      <c r="J69" s="198">
        <v>277000</v>
      </c>
      <c r="K69" s="198">
        <v>247000</v>
      </c>
      <c r="M69" s="144" t="str">
        <f t="shared" si="14"/>
        <v>321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43</v>
      </c>
      <c r="D70" s="149" t="str">
        <f t="shared" si="12"/>
        <v>Ostali prihodi za posebne namjene</v>
      </c>
      <c r="E70" s="154">
        <v>3212</v>
      </c>
      <c r="F70" s="149" t="str">
        <f t="shared" si="11"/>
        <v>Naknade za prijevoz, za rad na terenu i odvojeni život</v>
      </c>
      <c r="G70" s="201" t="s">
        <v>200</v>
      </c>
      <c r="H70" s="149" t="str">
        <f t="shared" si="13"/>
        <v>REDOVNA DJELATNOST SVEUČILIŠTA U SPLITU (IZ EVIDENCIJSKIH PRIHODA)</v>
      </c>
      <c r="I70" s="198">
        <v>17000</v>
      </c>
      <c r="J70" s="198">
        <v>19000</v>
      </c>
      <c r="K70" s="198">
        <v>17000</v>
      </c>
      <c r="M70" s="144" t="str">
        <f t="shared" si="14"/>
        <v>321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43</v>
      </c>
      <c r="D71" s="149" t="str">
        <f t="shared" si="12"/>
        <v>Ostali prihodi za posebne namjene</v>
      </c>
      <c r="E71" s="154">
        <v>3213</v>
      </c>
      <c r="F71" s="149" t="str">
        <f t="shared" si="11"/>
        <v>Stručno usavršavanje zaposlenika</v>
      </c>
      <c r="G71" s="201" t="s">
        <v>200</v>
      </c>
      <c r="H71" s="149" t="str">
        <f t="shared" si="13"/>
        <v>REDOVNA DJELATNOST SVEUČILIŠTA U SPLITU (IZ EVIDENCIJSKIH PRIHODA)</v>
      </c>
      <c r="I71" s="198">
        <v>45000</v>
      </c>
      <c r="J71" s="198">
        <v>45000</v>
      </c>
      <c r="K71" s="198">
        <v>45000</v>
      </c>
      <c r="M71" s="144" t="str">
        <f t="shared" si="14"/>
        <v>321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43</v>
      </c>
      <c r="D72" s="149" t="str">
        <f t="shared" si="12"/>
        <v>Ostali prihodi za posebne namjene</v>
      </c>
      <c r="E72" s="154">
        <v>3221</v>
      </c>
      <c r="F72" s="149" t="str">
        <f t="shared" si="11"/>
        <v>Uredski materijal i ostali materijalni rashodi</v>
      </c>
      <c r="G72" s="201" t="s">
        <v>200</v>
      </c>
      <c r="H72" s="149" t="str">
        <f t="shared" si="13"/>
        <v>REDOVNA DJELATNOST SVEUČILIŠTA U SPLITU (IZ EVIDENCIJSKIH PRIHODA)</v>
      </c>
      <c r="I72" s="198">
        <v>120000</v>
      </c>
      <c r="J72" s="198">
        <v>130000</v>
      </c>
      <c r="K72" s="198">
        <v>120000</v>
      </c>
      <c r="M72" s="144" t="str">
        <f t="shared" si="14"/>
        <v>322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43</v>
      </c>
      <c r="D73" s="149" t="str">
        <f t="shared" si="12"/>
        <v>Ostali prihodi za posebne namjene</v>
      </c>
      <c r="E73" s="154">
        <v>3223</v>
      </c>
      <c r="F73" s="149" t="str">
        <f t="shared" si="11"/>
        <v>Energija</v>
      </c>
      <c r="G73" s="201" t="s">
        <v>200</v>
      </c>
      <c r="H73" s="149" t="str">
        <f t="shared" si="13"/>
        <v>REDOVNA DJELATNOST SVEUČILIŠTA U SPLITU (IZ EVIDENCIJSKIH PRIHODA)</v>
      </c>
      <c r="I73" s="198">
        <v>90000</v>
      </c>
      <c r="J73" s="198">
        <v>90000</v>
      </c>
      <c r="K73" s="198">
        <v>90000</v>
      </c>
      <c r="M73" s="144" t="str">
        <f t="shared" si="14"/>
        <v>322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43</v>
      </c>
      <c r="D74" s="149" t="str">
        <f t="shared" si="12"/>
        <v>Ostali prihodi za posebne namjene</v>
      </c>
      <c r="E74" s="154">
        <v>3224</v>
      </c>
      <c r="F74" s="149" t="str">
        <f t="shared" si="11"/>
        <v>Materijal i dijelovi za tekuće i investicijsko održavanje</v>
      </c>
      <c r="G74" s="201" t="s">
        <v>200</v>
      </c>
      <c r="H74" s="149" t="str">
        <f t="shared" si="13"/>
        <v>REDOVNA DJELATNOST SVEUČILIŠTA U SPLITU (IZ EVIDENCIJSKIH PRIHODA)</v>
      </c>
      <c r="I74" s="198">
        <v>75000</v>
      </c>
      <c r="J74" s="198">
        <v>80000</v>
      </c>
      <c r="K74" s="198">
        <v>75000</v>
      </c>
      <c r="M74" s="144" t="str">
        <f t="shared" si="14"/>
        <v>322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43</v>
      </c>
      <c r="D75" s="149" t="str">
        <f t="shared" si="12"/>
        <v>Ostali prihodi za posebne namjene</v>
      </c>
      <c r="E75" s="154">
        <v>3225</v>
      </c>
      <c r="F75" s="149" t="str">
        <f t="shared" si="11"/>
        <v>Sitni inventar i auto gume</v>
      </c>
      <c r="G75" s="201" t="s">
        <v>200</v>
      </c>
      <c r="H75" s="149" t="str">
        <f t="shared" si="13"/>
        <v>REDOVNA DJELATNOST SVEUČILIŠTA U SPLITU (IZ EVIDENCIJSKIH PRIHODA)</v>
      </c>
      <c r="I75" s="198">
        <v>7000</v>
      </c>
      <c r="J75" s="198">
        <v>7000</v>
      </c>
      <c r="K75" s="198">
        <v>7000</v>
      </c>
      <c r="M75" s="144" t="str">
        <f t="shared" si="14"/>
        <v>322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43</v>
      </c>
      <c r="D76" s="149" t="str">
        <f t="shared" si="12"/>
        <v>Ostali prihodi za posebne namjene</v>
      </c>
      <c r="E76" s="154">
        <v>3227</v>
      </c>
      <c r="F76" s="149" t="str">
        <f t="shared" si="11"/>
        <v>Službena, radna i zaštitna odjeća i obuća</v>
      </c>
      <c r="G76" s="201" t="s">
        <v>200</v>
      </c>
      <c r="H76" s="149" t="str">
        <f t="shared" si="13"/>
        <v>REDOVNA DJELATNOST SVEUČILIŠTA U SPLITU (IZ EVIDENCIJSKIH PRIHODA)</v>
      </c>
      <c r="I76" s="198">
        <v>42000</v>
      </c>
      <c r="J76" s="198">
        <v>42000</v>
      </c>
      <c r="K76" s="198">
        <v>42000</v>
      </c>
      <c r="M76" s="144" t="str">
        <f t="shared" si="14"/>
        <v>322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43</v>
      </c>
      <c r="D77" s="149" t="str">
        <f t="shared" si="12"/>
        <v>Ostali prihodi za posebne namjene</v>
      </c>
      <c r="E77" s="154">
        <v>3231</v>
      </c>
      <c r="F77" s="149" t="str">
        <f t="shared" si="11"/>
        <v>Usluge telefona, pošte i prijevoza</v>
      </c>
      <c r="G77" s="201" t="s">
        <v>200</v>
      </c>
      <c r="H77" s="149" t="str">
        <f t="shared" si="13"/>
        <v>REDOVNA DJELATNOST SVEUČILIŠTA U SPLITU (IZ EVIDENCIJSKIH PRIHODA)</v>
      </c>
      <c r="I77" s="198">
        <v>11000</v>
      </c>
      <c r="J77" s="198">
        <v>12000</v>
      </c>
      <c r="K77" s="198">
        <v>11000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2"/>
        <v>Ostali prihodi za posebne namjene</v>
      </c>
      <c r="E78" s="154">
        <v>3232</v>
      </c>
      <c r="F78" s="149" t="str">
        <f t="shared" si="11"/>
        <v>Usluge tekućeg i investicijskog održavanja</v>
      </c>
      <c r="G78" s="201" t="s">
        <v>200</v>
      </c>
      <c r="H78" s="149" t="str">
        <f t="shared" si="13"/>
        <v>REDOVNA DJELATNOST SVEUČILIŠTA U SPLITU (IZ EVIDENCIJSKIH PRIHODA)</v>
      </c>
      <c r="I78" s="198">
        <v>50000</v>
      </c>
      <c r="J78" s="198">
        <v>60000</v>
      </c>
      <c r="K78" s="198">
        <v>50000</v>
      </c>
      <c r="M78" s="144" t="str">
        <f t="shared" si="14"/>
        <v>323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2"/>
        <v>Ostali prihodi za posebne namjene</v>
      </c>
      <c r="E79" s="154">
        <v>3233</v>
      </c>
      <c r="F79" s="149" t="str">
        <f t="shared" si="11"/>
        <v>Usluge promidžbe i informiranja</v>
      </c>
      <c r="G79" s="201" t="s">
        <v>200</v>
      </c>
      <c r="H79" s="149" t="str">
        <f t="shared" si="13"/>
        <v>REDOVNA DJELATNOST SVEUČILIŠTA U SPLITU (IZ EVIDENCIJSKIH PRIHODA)</v>
      </c>
      <c r="I79" s="198">
        <v>6000</v>
      </c>
      <c r="J79" s="198">
        <v>7000</v>
      </c>
      <c r="K79" s="198">
        <v>6000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2"/>
        <v>Ostali prihodi za posebne namjene</v>
      </c>
      <c r="E80" s="154">
        <v>3234</v>
      </c>
      <c r="F80" s="149" t="str">
        <f t="shared" si="11"/>
        <v>Komunalne usluge</v>
      </c>
      <c r="G80" s="201" t="s">
        <v>200</v>
      </c>
      <c r="H80" s="149" t="str">
        <f t="shared" si="13"/>
        <v>REDOVNA DJELATNOST SVEUČILIŠTA U SPLITU (IZ EVIDENCIJSKIH PRIHODA)</v>
      </c>
      <c r="I80" s="198">
        <v>7000</v>
      </c>
      <c r="J80" s="198">
        <v>8000</v>
      </c>
      <c r="K80" s="198">
        <v>7000</v>
      </c>
      <c r="M80" s="144" t="str">
        <f t="shared" si="14"/>
        <v>323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2"/>
        <v>Ostali prihodi za posebne namjene</v>
      </c>
      <c r="E81" s="154">
        <v>3225</v>
      </c>
      <c r="F81" s="149" t="str">
        <f t="shared" si="11"/>
        <v>Sitni inventar i auto gume</v>
      </c>
      <c r="G81" s="201" t="s">
        <v>200</v>
      </c>
      <c r="H81" s="149" t="str">
        <f t="shared" si="13"/>
        <v>REDOVNA DJELATNOST SVEUČILIŠTA U SPLITU (IZ EVIDENCIJSKIH PRIHODA)</v>
      </c>
      <c r="I81" s="198">
        <v>5000</v>
      </c>
      <c r="J81" s="198">
        <v>5000</v>
      </c>
      <c r="K81" s="198">
        <v>5000</v>
      </c>
      <c r="M81" s="144" t="str">
        <f t="shared" si="14"/>
        <v>322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2"/>
        <v>Ostali prihodi za posebne namjene</v>
      </c>
      <c r="E82" s="154">
        <v>3236</v>
      </c>
      <c r="F82" s="149" t="str">
        <f t="shared" si="11"/>
        <v>Zdravstvene i veterinarske usluge</v>
      </c>
      <c r="G82" s="201" t="s">
        <v>200</v>
      </c>
      <c r="H82" s="149" t="str">
        <f t="shared" si="13"/>
        <v>REDOVNA DJELATNOST SVEUČILIŠTA U SPLITU (IZ EVIDENCIJSKIH PRIHODA)</v>
      </c>
      <c r="I82" s="198">
        <v>2000</v>
      </c>
      <c r="J82" s="198">
        <v>5000</v>
      </c>
      <c r="K82" s="198">
        <v>2000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2"/>
        <v>Ostali prihodi za posebne namjene</v>
      </c>
      <c r="E83" s="154">
        <v>3237</v>
      </c>
      <c r="F83" s="149" t="str">
        <f t="shared" si="11"/>
        <v>Intelektualne i osobne usluge</v>
      </c>
      <c r="G83" s="201" t="s">
        <v>200</v>
      </c>
      <c r="H83" s="149" t="str">
        <f t="shared" si="13"/>
        <v>REDOVNA DJELATNOST SVEUČILIŠTA U SPLITU (IZ EVIDENCIJSKIH PRIHODA)</v>
      </c>
      <c r="I83" s="198">
        <v>150000</v>
      </c>
      <c r="J83" s="198">
        <v>175000</v>
      </c>
      <c r="K83" s="198">
        <v>150000</v>
      </c>
      <c r="M83" s="144" t="str">
        <f t="shared" si="14"/>
        <v>323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2"/>
        <v>Ostali prihodi za posebne namjene</v>
      </c>
      <c r="E84" s="154">
        <v>3238</v>
      </c>
      <c r="F84" s="149" t="str">
        <f t="shared" si="11"/>
        <v>Računalne usluge</v>
      </c>
      <c r="G84" s="201" t="s">
        <v>200</v>
      </c>
      <c r="H84" s="149" t="str">
        <f t="shared" si="13"/>
        <v>REDOVNA DJELATNOST SVEUČILIŠTA U SPLITU (IZ EVIDENCIJSKIH PRIHODA)</v>
      </c>
      <c r="I84" s="198">
        <v>3000</v>
      </c>
      <c r="J84" s="198">
        <v>3000</v>
      </c>
      <c r="K84" s="198">
        <v>3000</v>
      </c>
      <c r="M84" s="144" t="str">
        <f t="shared" si="14"/>
        <v>323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2"/>
        <v>Ostali prihodi za posebne namjene</v>
      </c>
      <c r="E85" s="154">
        <v>3239</v>
      </c>
      <c r="F85" s="149" t="str">
        <f t="shared" si="11"/>
        <v>Ostale usluge</v>
      </c>
      <c r="G85" s="201" t="s">
        <v>200</v>
      </c>
      <c r="H85" s="149" t="str">
        <f t="shared" si="13"/>
        <v>REDOVNA DJELATNOST SVEUČILIŠTA U SPLITU (IZ EVIDENCIJSKIH PRIHODA)</v>
      </c>
      <c r="I85" s="198">
        <v>30000</v>
      </c>
      <c r="J85" s="198">
        <v>30000</v>
      </c>
      <c r="K85" s="198">
        <v>30000</v>
      </c>
      <c r="M85" s="144" t="str">
        <f t="shared" si="14"/>
        <v>323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2"/>
        <v>Ostali prihodi za posebne namjene</v>
      </c>
      <c r="E86" s="154">
        <v>3241</v>
      </c>
      <c r="F86" s="149" t="str">
        <f t="shared" si="11"/>
        <v>Naknade troškova osobama izvan radnog odnosa</v>
      </c>
      <c r="G86" s="201" t="s">
        <v>200</v>
      </c>
      <c r="H86" s="149" t="str">
        <f t="shared" si="13"/>
        <v>REDOVNA DJELATNOST SVEUČILIŠTA U SPLITU (IZ EVIDENCIJSKIH PRIHODA)</v>
      </c>
      <c r="I86" s="198">
        <v>25000</v>
      </c>
      <c r="J86" s="198">
        <v>25000</v>
      </c>
      <c r="K86" s="198">
        <v>25000</v>
      </c>
      <c r="M86" s="144" t="str">
        <f t="shared" si="14"/>
        <v>324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2"/>
        <v>Ostali prihodi za posebne namjene</v>
      </c>
      <c r="E87" s="154">
        <v>3293</v>
      </c>
      <c r="F87" s="149" t="str">
        <f t="shared" si="11"/>
        <v>Reprezentacija</v>
      </c>
      <c r="G87" s="201" t="s">
        <v>200</v>
      </c>
      <c r="H87" s="149" t="str">
        <f t="shared" si="13"/>
        <v>REDOVNA DJELATNOST SVEUČILIŠTA U SPLITU (IZ EVIDENCIJSKIH PRIHODA)</v>
      </c>
      <c r="I87" s="198">
        <v>15000</v>
      </c>
      <c r="J87" s="198">
        <v>17000</v>
      </c>
      <c r="K87" s="198">
        <v>15000</v>
      </c>
      <c r="M87" s="144" t="str">
        <f t="shared" si="14"/>
        <v>329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3294</v>
      </c>
      <c r="F88" s="149" t="str">
        <f t="shared" si="11"/>
        <v>Članarine i norme</v>
      </c>
      <c r="G88" s="201" t="s">
        <v>200</v>
      </c>
      <c r="H88" s="149" t="str">
        <f t="shared" si="13"/>
        <v>REDOVNA DJELATNOST SVEUČILIŠTA U SPLITU (IZ EVIDENCIJSKIH PRIHODA)</v>
      </c>
      <c r="I88" s="198">
        <v>10000</v>
      </c>
      <c r="J88" s="198">
        <v>10000</v>
      </c>
      <c r="K88" s="198">
        <v>10000</v>
      </c>
      <c r="M88" s="144" t="str">
        <f t="shared" si="14"/>
        <v>329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3299</v>
      </c>
      <c r="F89" s="149" t="str">
        <f t="shared" si="11"/>
        <v>Ostali nespomenuti rashodi poslovanja</v>
      </c>
      <c r="G89" s="201" t="s">
        <v>200</v>
      </c>
      <c r="H89" s="149" t="str">
        <f t="shared" si="13"/>
        <v>REDOVNA DJELATNOST SVEUČILIŠTA U SPLITU (IZ EVIDENCIJSKIH PRIHODA)</v>
      </c>
      <c r="I89" s="198">
        <v>450000</v>
      </c>
      <c r="J89" s="198">
        <v>478450</v>
      </c>
      <c r="K89" s="198">
        <v>450000</v>
      </c>
      <c r="M89" s="144" t="str">
        <f t="shared" si="14"/>
        <v>329</v>
      </c>
      <c r="N89" s="144" t="str">
        <f t="shared" si="15"/>
        <v>32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2"/>
        <v>Ostali prihodi za posebne namjene</v>
      </c>
      <c r="E90" s="154">
        <v>3431</v>
      </c>
      <c r="F90" s="149" t="str">
        <f t="shared" si="11"/>
        <v>Bankarske usluge i usluge platnog prometa</v>
      </c>
      <c r="G90" s="201" t="s">
        <v>200</v>
      </c>
      <c r="H90" s="149" t="str">
        <f t="shared" si="13"/>
        <v>REDOVNA DJELATNOST SVEUČILIŠTA U SPLITU (IZ EVIDENCIJSKIH PRIHODA)</v>
      </c>
      <c r="I90" s="198">
        <v>3500</v>
      </c>
      <c r="J90" s="198">
        <v>3500</v>
      </c>
      <c r="K90" s="198">
        <v>3500</v>
      </c>
      <c r="M90" s="144" t="str">
        <f t="shared" si="14"/>
        <v>343</v>
      </c>
      <c r="N90" s="144" t="str">
        <f t="shared" si="15"/>
        <v>34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2"/>
        <v>Ostali prihodi za posebne namjene</v>
      </c>
      <c r="E91" s="154">
        <v>3432</v>
      </c>
      <c r="F91" s="149" t="str">
        <f t="shared" si="11"/>
        <v>Negativne tečajne razlike i razlike zbog primjene valutne kl</v>
      </c>
      <c r="G91" s="201" t="s">
        <v>200</v>
      </c>
      <c r="H91" s="149" t="str">
        <f t="shared" si="13"/>
        <v>REDOVNA DJELATNOST SVEUČILIŠTA U SPLITU (IZ EVIDENCIJSKIH PRIHODA)</v>
      </c>
      <c r="I91" s="198">
        <v>100</v>
      </c>
      <c r="J91" s="198">
        <v>100</v>
      </c>
      <c r="K91" s="198">
        <v>100</v>
      </c>
      <c r="M91" s="144" t="str">
        <f t="shared" si="14"/>
        <v>343</v>
      </c>
      <c r="N91" s="144" t="str">
        <f t="shared" si="15"/>
        <v>34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2"/>
        <v>Ostali prihodi za posebne namjene</v>
      </c>
      <c r="E92" s="154">
        <v>3721</v>
      </c>
      <c r="F92" s="149" t="str">
        <f t="shared" si="11"/>
        <v>Naknade građanima i kućanstvima u novcu</v>
      </c>
      <c r="G92" s="201" t="s">
        <v>200</v>
      </c>
      <c r="H92" s="149" t="str">
        <f t="shared" si="13"/>
        <v>REDOVNA DJELATNOST SVEUČILIŠTA U SPLITU (IZ EVIDENCIJSKIH PRIHODA)</v>
      </c>
      <c r="I92" s="198">
        <v>42000</v>
      </c>
      <c r="J92" s="198">
        <v>42000</v>
      </c>
      <c r="K92" s="198">
        <v>42000</v>
      </c>
      <c r="M92" s="144" t="str">
        <f t="shared" si="14"/>
        <v>372</v>
      </c>
      <c r="N92" s="144" t="str">
        <f t="shared" si="15"/>
        <v>37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3722</v>
      </c>
      <c r="F93" s="149" t="str">
        <f t="shared" si="11"/>
        <v>Naknade građanima i kućanstvima u naravi</v>
      </c>
      <c r="G93" s="201" t="s">
        <v>200</v>
      </c>
      <c r="H93" s="149" t="str">
        <f t="shared" si="13"/>
        <v>REDOVNA DJELATNOST SVEUČILIŠTA U SPLITU (IZ EVIDENCIJSKIH PRIHODA)</v>
      </c>
      <c r="I93" s="198">
        <v>5000</v>
      </c>
      <c r="J93" s="198">
        <v>5000</v>
      </c>
      <c r="K93" s="198">
        <v>5000</v>
      </c>
      <c r="M93" s="144" t="str">
        <f t="shared" si="14"/>
        <v>372</v>
      </c>
      <c r="N93" s="144" t="str">
        <f t="shared" si="15"/>
        <v>37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3811</v>
      </c>
      <c r="F94" s="149" t="str">
        <f t="shared" si="11"/>
        <v>Tekuće donacije u novcu</v>
      </c>
      <c r="G94" s="201" t="s">
        <v>200</v>
      </c>
      <c r="H94" s="149" t="str">
        <f t="shared" si="13"/>
        <v>REDOVNA DJELATNOST SVEUČILIŠTA U SPLITU (IZ EVIDENCIJSKIH PRIHODA)</v>
      </c>
      <c r="I94" s="198">
        <v>2000</v>
      </c>
      <c r="J94" s="198">
        <v>2000</v>
      </c>
      <c r="K94" s="198">
        <v>2000</v>
      </c>
      <c r="M94" s="144" t="str">
        <f t="shared" si="14"/>
        <v>381</v>
      </c>
      <c r="N94" s="144" t="str">
        <f t="shared" si="15"/>
        <v>38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2"/>
        <v>Ostali prihodi za posebne namjene</v>
      </c>
      <c r="E95" s="154">
        <v>4124</v>
      </c>
      <c r="F95" s="149" t="str">
        <f t="shared" si="11"/>
        <v>Ostala prava</v>
      </c>
      <c r="G95" s="201" t="s">
        <v>200</v>
      </c>
      <c r="H95" s="149" t="str">
        <f t="shared" si="13"/>
        <v>REDOVNA DJELATNOST SVEUČILIŠTA U SPLITU (IZ EVIDENCIJSKIH PRIHODA)</v>
      </c>
      <c r="I95" s="198">
        <v>150000</v>
      </c>
      <c r="J95" s="198">
        <v>150000</v>
      </c>
      <c r="K95" s="198">
        <v>150000</v>
      </c>
      <c r="M95" s="144" t="str">
        <f t="shared" si="14"/>
        <v>412</v>
      </c>
      <c r="N95" s="144" t="str">
        <f t="shared" si="15"/>
        <v>41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2"/>
        <v>Ostali prihodi za posebne namjene</v>
      </c>
      <c r="E96" s="154">
        <v>4221</v>
      </c>
      <c r="F96" s="149" t="str">
        <f t="shared" si="11"/>
        <v>Uredska oprema i namještaj</v>
      </c>
      <c r="G96" s="201" t="s">
        <v>200</v>
      </c>
      <c r="H96" s="149" t="str">
        <f t="shared" si="13"/>
        <v>REDOVNA DJELATNOST SVEUČILIŠTA U SPLITU (IZ EVIDENCIJSKIH PRIHODA)</v>
      </c>
      <c r="I96" s="198">
        <v>310000</v>
      </c>
      <c r="J96" s="198">
        <v>310000</v>
      </c>
      <c r="K96" s="198">
        <v>310000</v>
      </c>
      <c r="M96" s="144" t="str">
        <f t="shared" si="14"/>
        <v>422</v>
      </c>
      <c r="N96" s="144" t="str">
        <f t="shared" si="15"/>
        <v>42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2"/>
        <v>Ostali prihodi za posebne namjene</v>
      </c>
      <c r="E97" s="154">
        <v>4222</v>
      </c>
      <c r="F97" s="149" t="str">
        <f t="shared" si="11"/>
        <v>Komunikacijska oprema</v>
      </c>
      <c r="G97" s="201" t="s">
        <v>200</v>
      </c>
      <c r="H97" s="149" t="str">
        <f t="shared" si="13"/>
        <v>REDOVNA DJELATNOST SVEUČILIŠTA U SPLITU (IZ EVIDENCIJSKIH PRIHODA)</v>
      </c>
      <c r="I97" s="198">
        <v>50000</v>
      </c>
      <c r="J97" s="198">
        <v>50000</v>
      </c>
      <c r="K97" s="198">
        <v>50000</v>
      </c>
      <c r="M97" s="144" t="str">
        <f t="shared" si="14"/>
        <v>422</v>
      </c>
      <c r="N97" s="144" t="str">
        <f t="shared" si="15"/>
        <v>42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2"/>
        <v>Ostali prihodi za posebne namjene</v>
      </c>
      <c r="E98" s="154">
        <v>4223</v>
      </c>
      <c r="F98" s="149" t="str">
        <f t="shared" si="11"/>
        <v>Oprema za održavanje i zaštitu</v>
      </c>
      <c r="G98" s="201" t="s">
        <v>200</v>
      </c>
      <c r="H98" s="149" t="str">
        <f t="shared" si="13"/>
        <v>REDOVNA DJELATNOST SVEUČILIŠTA U SPLITU (IZ EVIDENCIJSKIH PRIHODA)</v>
      </c>
      <c r="I98" s="198">
        <v>20000</v>
      </c>
      <c r="J98" s="198">
        <v>20000</v>
      </c>
      <c r="K98" s="198">
        <v>20000</v>
      </c>
      <c r="M98" s="144" t="str">
        <f t="shared" si="14"/>
        <v>422</v>
      </c>
      <c r="N98" s="144" t="str">
        <f t="shared" si="15"/>
        <v>42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2"/>
        <v>Ostali prihodi za posebne namjene</v>
      </c>
      <c r="E99" s="154">
        <v>4224</v>
      </c>
      <c r="F99" s="149" t="str">
        <f t="shared" si="11"/>
        <v>Medicinska i laboratorijska oprema</v>
      </c>
      <c r="G99" s="201" t="s">
        <v>200</v>
      </c>
      <c r="H99" s="149" t="str">
        <f t="shared" si="13"/>
        <v>REDOVNA DJELATNOST SVEUČILIŠTA U SPLITU (IZ EVIDENCIJSKIH PRIHODA)</v>
      </c>
      <c r="I99" s="198">
        <v>273350</v>
      </c>
      <c r="J99" s="198">
        <v>273350</v>
      </c>
      <c r="K99" s="198">
        <v>273350</v>
      </c>
      <c r="M99" s="144" t="str">
        <f t="shared" si="14"/>
        <v>422</v>
      </c>
      <c r="N99" s="144" t="str">
        <f t="shared" si="15"/>
        <v>42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2"/>
        <v>Ostali prihodi za posebne namjene</v>
      </c>
      <c r="E100" s="154">
        <v>4225</v>
      </c>
      <c r="F100" s="149" t="str">
        <f t="shared" si="11"/>
        <v>Instrumenti, uređaji i strojevi</v>
      </c>
      <c r="G100" s="201" t="s">
        <v>200</v>
      </c>
      <c r="H100" s="149" t="str">
        <f t="shared" si="13"/>
        <v>REDOVNA DJELATNOST SVEUČILIŠTA U SPLITU (IZ EVIDENCIJSKIH PRIHODA)</v>
      </c>
      <c r="I100" s="198">
        <v>70000</v>
      </c>
      <c r="J100" s="198">
        <v>70000</v>
      </c>
      <c r="K100" s="198">
        <v>70000</v>
      </c>
      <c r="M100" s="144" t="str">
        <f t="shared" si="14"/>
        <v>422</v>
      </c>
      <c r="N100" s="144" t="str">
        <f t="shared" si="15"/>
        <v>42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2"/>
        <v>Ostali prihodi za posebne namjene</v>
      </c>
      <c r="E101" s="154">
        <v>4227</v>
      </c>
      <c r="F101" s="149" t="str">
        <f t="shared" si="11"/>
        <v>Uređaji, strojevi i oprema za ostale namjene</v>
      </c>
      <c r="G101" s="201" t="s">
        <v>200</v>
      </c>
      <c r="H101" s="149" t="str">
        <f t="shared" si="13"/>
        <v>REDOVNA DJELATNOST SVEUČILIŠTA U SPLITU (IZ EVIDENCIJSKIH PRIHODA)</v>
      </c>
      <c r="I101" s="198">
        <v>20000</v>
      </c>
      <c r="J101" s="198">
        <v>20000</v>
      </c>
      <c r="K101" s="198">
        <v>20000</v>
      </c>
      <c r="M101" s="144" t="str">
        <f t="shared" si="14"/>
        <v>422</v>
      </c>
      <c r="N101" s="144" t="str">
        <f t="shared" si="15"/>
        <v>42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2"/>
        <v>Ostali prihodi za posebne namjene</v>
      </c>
      <c r="E102" s="154">
        <v>4241</v>
      </c>
      <c r="F102" s="149" t="str">
        <f t="shared" si="11"/>
        <v>Knjige</v>
      </c>
      <c r="G102" s="201" t="s">
        <v>200</v>
      </c>
      <c r="H102" s="149" t="str">
        <f t="shared" si="13"/>
        <v>REDOVNA DJELATNOST SVEUČILIŠTA U SPLITU (IZ EVIDENCIJSKIH PRIHODA)</v>
      </c>
      <c r="I102" s="198">
        <v>20000</v>
      </c>
      <c r="J102" s="198">
        <v>20000</v>
      </c>
      <c r="K102" s="198">
        <v>20000</v>
      </c>
      <c r="M102" s="144" t="str">
        <f t="shared" si="14"/>
        <v>424</v>
      </c>
      <c r="N102" s="144" t="str">
        <f t="shared" si="15"/>
        <v>42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2"/>
        <v>Ostali prihodi za posebne namjene</v>
      </c>
      <c r="E103" s="154">
        <v>4262</v>
      </c>
      <c r="F103" s="149" t="str">
        <f t="shared" si="11"/>
        <v>Ulaganja u računalne programe</v>
      </c>
      <c r="G103" s="201" t="s">
        <v>200</v>
      </c>
      <c r="H103" s="149" t="str">
        <f t="shared" si="13"/>
        <v>REDOVNA DJELATNOST SVEUČILIŠTA U SPLITU (IZ EVIDENCIJSKIH PRIHODA)</v>
      </c>
      <c r="I103" s="198">
        <v>65000</v>
      </c>
      <c r="J103" s="198">
        <v>65000</v>
      </c>
      <c r="K103" s="198">
        <v>65000</v>
      </c>
      <c r="M103" s="144" t="str">
        <f t="shared" si="14"/>
        <v>426</v>
      </c>
      <c r="N103" s="144" t="str">
        <f t="shared" si="15"/>
        <v>42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11</v>
      </c>
      <c r="D104" s="149" t="str">
        <f t="shared" si="12"/>
        <v>Opći prihodi i primici</v>
      </c>
      <c r="E104" s="154">
        <v>3237</v>
      </c>
      <c r="F104" s="149" t="str">
        <f t="shared" si="11"/>
        <v>Intelektualne i osobne usluge</v>
      </c>
      <c r="G104" s="201" t="s">
        <v>866</v>
      </c>
      <c r="H104" s="149" t="str">
        <f t="shared" si="13"/>
        <v>PROGRAMI VJEŽBAONICA VISOKIH UČILIŠTA</v>
      </c>
      <c r="I104" s="198">
        <v>72091</v>
      </c>
      <c r="J104" s="198">
        <v>72091</v>
      </c>
      <c r="K104" s="198">
        <v>72091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61</v>
      </c>
      <c r="D105" s="149" t="str">
        <f t="shared" si="12"/>
        <v>Donacije</v>
      </c>
      <c r="E105" s="154">
        <v>3111</v>
      </c>
      <c r="F105" s="149" t="str">
        <f t="shared" si="11"/>
        <v>Plaće za redovan rad</v>
      </c>
      <c r="G105" s="201" t="s">
        <v>154</v>
      </c>
      <c r="H105" s="149" t="str">
        <f t="shared" si="13"/>
        <v>EU PROJEKTI SVEUČILIŠTE U SPLITU (IZ EVIDENCIJSKIH PRIHODA)</v>
      </c>
      <c r="I105" s="198">
        <v>110128</v>
      </c>
      <c r="J105" s="198">
        <v>110128</v>
      </c>
      <c r="K105" s="198">
        <v>110128</v>
      </c>
      <c r="M105" s="144" t="str">
        <f t="shared" si="14"/>
        <v>311</v>
      </c>
      <c r="N105" s="144" t="str">
        <f t="shared" si="15"/>
        <v>31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61</v>
      </c>
      <c r="D106" s="149" t="str">
        <f t="shared" si="12"/>
        <v>Donacije</v>
      </c>
      <c r="E106" s="154">
        <v>3132</v>
      </c>
      <c r="F106" s="149" t="str">
        <f t="shared" si="11"/>
        <v>Doprinosi za obvezno zdravstveno osiguranje</v>
      </c>
      <c r="G106" s="201" t="s">
        <v>154</v>
      </c>
      <c r="H106" s="149" t="str">
        <f t="shared" si="13"/>
        <v>EU PROJEKTI SVEUČILIŠTE U SPLITU (IZ EVIDENCIJSKIH PRIHODA)</v>
      </c>
      <c r="I106" s="198">
        <v>17336</v>
      </c>
      <c r="J106" s="198">
        <v>17336</v>
      </c>
      <c r="K106" s="198">
        <v>17336</v>
      </c>
      <c r="M106" s="144" t="str">
        <f t="shared" si="14"/>
        <v>313</v>
      </c>
      <c r="N106" s="144" t="str">
        <f t="shared" si="15"/>
        <v>31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61</v>
      </c>
      <c r="D107" s="149" t="str">
        <f t="shared" si="12"/>
        <v>Donacije</v>
      </c>
      <c r="E107" s="154">
        <v>3211</v>
      </c>
      <c r="F107" s="149" t="str">
        <f t="shared" si="11"/>
        <v>Službena putovanja</v>
      </c>
      <c r="G107" s="201" t="s">
        <v>200</v>
      </c>
      <c r="H107" s="149" t="str">
        <f t="shared" si="13"/>
        <v>REDOVNA DJELATNOST SVEUČILIŠTA U SPLITU (IZ EVIDENCIJSKIH PRIHODA)</v>
      </c>
      <c r="I107" s="198">
        <v>10000</v>
      </c>
      <c r="J107" s="198">
        <v>10000</v>
      </c>
      <c r="K107" s="198">
        <v>10000</v>
      </c>
      <c r="M107" s="144" t="str">
        <f t="shared" si="14"/>
        <v>321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61</v>
      </c>
      <c r="D108" s="149" t="str">
        <f t="shared" si="12"/>
        <v>Donacije</v>
      </c>
      <c r="E108" s="154">
        <v>3221</v>
      </c>
      <c r="F108" s="149" t="str">
        <f t="shared" si="11"/>
        <v>Uredski materijal i ostali materijalni rashodi</v>
      </c>
      <c r="G108" s="201" t="s">
        <v>200</v>
      </c>
      <c r="H108" s="149" t="str">
        <f t="shared" si="13"/>
        <v>REDOVNA DJELATNOST SVEUČILIŠTA U SPLITU (IZ EVIDENCIJSKIH PRIHODA)</v>
      </c>
      <c r="I108" s="198">
        <v>20000</v>
      </c>
      <c r="J108" s="198">
        <v>20000</v>
      </c>
      <c r="K108" s="198">
        <v>20000</v>
      </c>
      <c r="M108" s="144" t="str">
        <f t="shared" si="14"/>
        <v>322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61</v>
      </c>
      <c r="D109" s="149" t="str">
        <f t="shared" si="12"/>
        <v>Donacije</v>
      </c>
      <c r="E109" s="154">
        <v>3237</v>
      </c>
      <c r="F109" s="149" t="str">
        <f t="shared" si="11"/>
        <v>Intelektualne i osobne usluge</v>
      </c>
      <c r="G109" s="201" t="s">
        <v>200</v>
      </c>
      <c r="H109" s="149" t="str">
        <f t="shared" si="13"/>
        <v>REDOVNA DJELATNOST SVEUČILIŠTA U SPLITU (IZ EVIDENCIJSKIH PRIHODA)</v>
      </c>
      <c r="I109" s="198">
        <v>6000</v>
      </c>
      <c r="J109" s="198">
        <v>6000</v>
      </c>
      <c r="K109" s="198">
        <v>6000</v>
      </c>
      <c r="M109" s="144" t="str">
        <f t="shared" si="14"/>
        <v>323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61</v>
      </c>
      <c r="D110" s="149" t="str">
        <f t="shared" si="12"/>
        <v>Donacije</v>
      </c>
      <c r="E110" s="154">
        <v>3293</v>
      </c>
      <c r="F110" s="149" t="str">
        <f t="shared" si="11"/>
        <v>Reprezentacija</v>
      </c>
      <c r="G110" s="201" t="s">
        <v>200</v>
      </c>
      <c r="H110" s="149" t="str">
        <f t="shared" si="13"/>
        <v>REDOVNA DJELATNOST SVEUČILIŠTA U SPLITU (IZ EVIDENCIJSKIH PRIHODA)</v>
      </c>
      <c r="I110" s="198">
        <v>3000</v>
      </c>
      <c r="J110" s="198">
        <v>3000</v>
      </c>
      <c r="K110" s="198">
        <v>3000</v>
      </c>
      <c r="M110" s="144" t="str">
        <f t="shared" si="14"/>
        <v>329</v>
      </c>
      <c r="N110" s="144" t="str">
        <f t="shared" si="15"/>
        <v>32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61</v>
      </c>
      <c r="D111" s="149" t="str">
        <f t="shared" si="12"/>
        <v>Donacije</v>
      </c>
      <c r="E111" s="154">
        <v>4221</v>
      </c>
      <c r="F111" s="149" t="str">
        <f t="shared" si="11"/>
        <v>Uredska oprema i namještaj</v>
      </c>
      <c r="G111" s="201" t="s">
        <v>200</v>
      </c>
      <c r="H111" s="149" t="str">
        <f t="shared" si="13"/>
        <v>REDOVNA DJELATNOST SVEUČILIŠTA U SPLITU (IZ EVIDENCIJSKIH PRIHODA)</v>
      </c>
      <c r="I111" s="198">
        <v>11000</v>
      </c>
      <c r="J111" s="198">
        <v>11000</v>
      </c>
      <c r="K111" s="198">
        <v>11000</v>
      </c>
      <c r="M111" s="144" t="str">
        <f t="shared" si="14"/>
        <v>422</v>
      </c>
      <c r="N111" s="144" t="str">
        <f t="shared" si="15"/>
        <v>42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61</v>
      </c>
      <c r="D112" s="149" t="str">
        <f t="shared" si="12"/>
        <v>Donacije</v>
      </c>
      <c r="E112" s="154">
        <v>4224</v>
      </c>
      <c r="F112" s="149" t="str">
        <f t="shared" si="11"/>
        <v>Medicinska i laboratorijska oprema</v>
      </c>
      <c r="G112" s="201" t="s">
        <v>200</v>
      </c>
      <c r="H112" s="149" t="str">
        <f t="shared" si="13"/>
        <v>REDOVNA DJELATNOST SVEUČILIŠTA U SPLITU (IZ EVIDENCIJSKIH PRIHODA)</v>
      </c>
      <c r="I112" s="198">
        <v>10000</v>
      </c>
      <c r="J112" s="198">
        <v>10000</v>
      </c>
      <c r="K112" s="198">
        <v>10000</v>
      </c>
      <c r="M112" s="144" t="str">
        <f t="shared" si="14"/>
        <v>422</v>
      </c>
      <c r="N112" s="144" t="str">
        <f t="shared" si="15"/>
        <v>42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51</v>
      </c>
      <c r="D113" s="149" t="str">
        <f t="shared" si="12"/>
        <v>Pomoći EU</v>
      </c>
      <c r="E113" s="154">
        <v>3111</v>
      </c>
      <c r="F113" s="149" t="str">
        <f t="shared" si="11"/>
        <v>Plaće za redovan rad</v>
      </c>
      <c r="G113" s="201" t="s">
        <v>154</v>
      </c>
      <c r="H113" s="149" t="str">
        <f t="shared" si="13"/>
        <v>EU PROJEKTI SVEUČILIŠTE U SPLITU (IZ EVIDENCIJSKIH PRIHODA)</v>
      </c>
      <c r="I113" s="198">
        <v>566524</v>
      </c>
      <c r="J113" s="198">
        <v>566524</v>
      </c>
      <c r="K113" s="198">
        <v>566524</v>
      </c>
      <c r="M113" s="144" t="str">
        <f t="shared" si="14"/>
        <v>311</v>
      </c>
      <c r="N113" s="144" t="str">
        <f t="shared" si="15"/>
        <v>31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51</v>
      </c>
      <c r="D114" s="149" t="str">
        <f t="shared" si="12"/>
        <v>Pomoći EU</v>
      </c>
      <c r="E114" s="154">
        <v>3132</v>
      </c>
      <c r="F114" s="149" t="str">
        <f t="shared" si="11"/>
        <v>Doprinosi za obvezno zdravstveno osiguranje</v>
      </c>
      <c r="G114" s="201" t="s">
        <v>154</v>
      </c>
      <c r="H114" s="149" t="str">
        <f t="shared" si="13"/>
        <v>EU PROJEKTI SVEUČILIŠTE U SPLITU (IZ EVIDENCIJSKIH PRIHODA)</v>
      </c>
      <c r="I114" s="198">
        <v>93476</v>
      </c>
      <c r="J114" s="198">
        <v>93476</v>
      </c>
      <c r="K114" s="198">
        <v>93476</v>
      </c>
      <c r="M114" s="144" t="str">
        <f t="shared" si="14"/>
        <v>313</v>
      </c>
      <c r="N114" s="144" t="str">
        <f t="shared" si="15"/>
        <v>31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51</v>
      </c>
      <c r="D115" s="149" t="str">
        <f t="shared" si="12"/>
        <v>Pomoći EU</v>
      </c>
      <c r="E115" s="154">
        <v>3121</v>
      </c>
      <c r="F115" s="149" t="str">
        <f t="shared" si="11"/>
        <v>Ostali rashodi za zaposlene</v>
      </c>
      <c r="G115" s="201" t="s">
        <v>154</v>
      </c>
      <c r="H115" s="149" t="str">
        <f t="shared" si="13"/>
        <v>EU PROJEKTI SVEUČILIŠTE U SPLITU (IZ EVIDENCIJSKIH PRIHODA)</v>
      </c>
      <c r="I115" s="198">
        <v>6000</v>
      </c>
      <c r="J115" s="198">
        <v>6000</v>
      </c>
      <c r="K115" s="198">
        <v>6000</v>
      </c>
      <c r="M115" s="144" t="str">
        <f t="shared" si="14"/>
        <v>312</v>
      </c>
      <c r="N115" s="144" t="str">
        <f t="shared" si="15"/>
        <v>31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51</v>
      </c>
      <c r="D116" s="149" t="str">
        <f t="shared" si="12"/>
        <v>Pomoći EU</v>
      </c>
      <c r="E116" s="154">
        <v>3212</v>
      </c>
      <c r="F116" s="149" t="str">
        <f t="shared" si="11"/>
        <v>Naknade za prijevoz, za rad na terenu i odvojeni život</v>
      </c>
      <c r="G116" s="201" t="s">
        <v>154</v>
      </c>
      <c r="H116" s="149" t="str">
        <f t="shared" si="13"/>
        <v>EU PROJEKTI SVEUČILIŠTE U SPLITU (IZ EVIDENCIJSKIH PRIHODA)</v>
      </c>
      <c r="I116" s="198">
        <v>6000</v>
      </c>
      <c r="J116" s="198">
        <v>6000</v>
      </c>
      <c r="K116" s="198">
        <v>6000</v>
      </c>
      <c r="M116" s="144" t="str">
        <f t="shared" si="14"/>
        <v>321</v>
      </c>
      <c r="N116" s="144" t="str">
        <f t="shared" si="15"/>
        <v>32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51</v>
      </c>
      <c r="D117" s="149" t="str">
        <f t="shared" si="12"/>
        <v>Pomoći EU</v>
      </c>
      <c r="E117" s="154">
        <v>3211</v>
      </c>
      <c r="F117" s="149" t="str">
        <f t="shared" si="11"/>
        <v>Službena putovanja</v>
      </c>
      <c r="G117" s="201" t="s">
        <v>154</v>
      </c>
      <c r="H117" s="149" t="str">
        <f t="shared" si="13"/>
        <v>EU PROJEKTI SVEUČILIŠTE U SPLITU (IZ EVIDENCIJSKIH PRIHODA)</v>
      </c>
      <c r="I117" s="198">
        <v>105000</v>
      </c>
      <c r="J117" s="198">
        <v>105000</v>
      </c>
      <c r="K117" s="198">
        <v>105000</v>
      </c>
      <c r="M117" s="144" t="str">
        <f t="shared" si="14"/>
        <v>321</v>
      </c>
      <c r="N117" s="144" t="str">
        <f t="shared" si="15"/>
        <v>32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51</v>
      </c>
      <c r="D118" s="149" t="str">
        <f t="shared" si="12"/>
        <v>Pomoći EU</v>
      </c>
      <c r="E118" s="154">
        <v>3221</v>
      </c>
      <c r="F118" s="149" t="str">
        <f t="shared" si="11"/>
        <v>Uredski materijal i ostali materijalni rashodi</v>
      </c>
      <c r="G118" s="201" t="s">
        <v>154</v>
      </c>
      <c r="H118" s="149" t="str">
        <f t="shared" si="13"/>
        <v>EU PROJEKTI SVEUČILIŠTE U SPLITU (IZ EVIDENCIJSKIH PRIHODA)</v>
      </c>
      <c r="I118" s="198">
        <v>66000</v>
      </c>
      <c r="J118" s="198">
        <v>66000</v>
      </c>
      <c r="K118" s="198">
        <v>66000</v>
      </c>
      <c r="M118" s="144" t="str">
        <f t="shared" si="14"/>
        <v>322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51</v>
      </c>
      <c r="D119" s="149" t="str">
        <f t="shared" si="12"/>
        <v>Pomoći EU</v>
      </c>
      <c r="E119" s="154">
        <v>3237</v>
      </c>
      <c r="F119" s="149" t="str">
        <f t="shared" si="11"/>
        <v>Intelektualne i osobne usluge</v>
      </c>
      <c r="G119" s="201" t="s">
        <v>154</v>
      </c>
      <c r="H119" s="149" t="str">
        <f t="shared" si="13"/>
        <v>EU PROJEKTI SVEUČILIŠTE U SPLITU (IZ EVIDENCIJSKIH PRIHODA)</v>
      </c>
      <c r="I119" s="198">
        <v>90000</v>
      </c>
      <c r="J119" s="198">
        <v>90000</v>
      </c>
      <c r="K119" s="198">
        <v>90000</v>
      </c>
      <c r="M119" s="144" t="str">
        <f t="shared" si="14"/>
        <v>323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51</v>
      </c>
      <c r="D120" s="149" t="str">
        <f t="shared" si="12"/>
        <v>Pomoći EU</v>
      </c>
      <c r="E120" s="154">
        <v>4221</v>
      </c>
      <c r="F120" s="149" t="str">
        <f t="shared" si="11"/>
        <v>Uredska oprema i namještaj</v>
      </c>
      <c r="G120" s="201" t="s">
        <v>154</v>
      </c>
      <c r="H120" s="149" t="str">
        <f t="shared" si="13"/>
        <v>EU PROJEKTI SVEUČILIŠTE U SPLITU (IZ EVIDENCIJSKIH PRIHODA)</v>
      </c>
      <c r="I120" s="198">
        <v>223875</v>
      </c>
      <c r="J120" s="198">
        <v>223875</v>
      </c>
      <c r="K120" s="198">
        <v>223875</v>
      </c>
      <c r="M120" s="144" t="str">
        <f t="shared" si="14"/>
        <v>422</v>
      </c>
      <c r="N120" s="144" t="str">
        <f t="shared" si="15"/>
        <v>42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51</v>
      </c>
      <c r="D121" s="149" t="str">
        <f t="shared" si="12"/>
        <v>Pomoći EU</v>
      </c>
      <c r="E121" s="154">
        <v>4224</v>
      </c>
      <c r="F121" s="149" t="str">
        <f t="shared" si="11"/>
        <v>Medicinska i laboratorijska oprema</v>
      </c>
      <c r="G121" s="201" t="s">
        <v>154</v>
      </c>
      <c r="H121" s="149" t="str">
        <f t="shared" si="13"/>
        <v>EU PROJEKTI SVEUČILIŠTE U SPLITU (IZ EVIDENCIJSKIH PRIHODA)</v>
      </c>
      <c r="I121" s="198">
        <v>52500</v>
      </c>
      <c r="J121" s="198">
        <v>52500</v>
      </c>
      <c r="K121" s="198">
        <v>52500</v>
      </c>
      <c r="M121" s="144" t="str">
        <f t="shared" si="14"/>
        <v>422</v>
      </c>
      <c r="N121" s="144" t="str">
        <f t="shared" si="15"/>
        <v>42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52</v>
      </c>
      <c r="D122" s="149" t="str">
        <f t="shared" si="12"/>
        <v>Ostale pomoći</v>
      </c>
      <c r="E122" s="154">
        <v>3111</v>
      </c>
      <c r="F122" s="149" t="str">
        <f t="shared" si="11"/>
        <v>Plaće za redovan rad</v>
      </c>
      <c r="G122" s="201" t="s">
        <v>154</v>
      </c>
      <c r="H122" s="149" t="str">
        <f t="shared" si="13"/>
        <v>EU PROJEKTI SVEUČILIŠTE U SPLITU (IZ EVIDENCIJSKIH PRIHODA)</v>
      </c>
      <c r="I122" s="198">
        <v>183540</v>
      </c>
      <c r="J122" s="198">
        <v>144107</v>
      </c>
      <c r="K122" s="198">
        <v>43494</v>
      </c>
      <c r="M122" s="144" t="str">
        <f t="shared" si="14"/>
        <v>311</v>
      </c>
      <c r="N122" s="144" t="str">
        <f t="shared" si="15"/>
        <v>31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52</v>
      </c>
      <c r="D123" s="149" t="str">
        <f t="shared" si="12"/>
        <v>Ostale pomoći</v>
      </c>
      <c r="E123" s="154">
        <v>3132</v>
      </c>
      <c r="F123" s="149" t="str">
        <f t="shared" si="11"/>
        <v>Doprinosi za obvezno zdravstveno osiguranje</v>
      </c>
      <c r="G123" s="201" t="s">
        <v>154</v>
      </c>
      <c r="H123" s="149" t="str">
        <f t="shared" si="13"/>
        <v>EU PROJEKTI SVEUČILIŠTE U SPLITU (IZ EVIDENCIJSKIH PRIHODA)</v>
      </c>
      <c r="I123" s="198">
        <v>30285</v>
      </c>
      <c r="J123" s="198">
        <v>23778</v>
      </c>
      <c r="K123" s="198">
        <v>7177</v>
      </c>
      <c r="M123" s="144" t="str">
        <f t="shared" si="14"/>
        <v>313</v>
      </c>
      <c r="N123" s="144" t="str">
        <f t="shared" si="15"/>
        <v>31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52</v>
      </c>
      <c r="D125" s="149" t="str">
        <f t="shared" si="12"/>
        <v>Ostale pomoći</v>
      </c>
      <c r="E125" s="154">
        <v>3211</v>
      </c>
      <c r="F125" s="149" t="str">
        <f t="shared" si="11"/>
        <v>Službena putovanja</v>
      </c>
      <c r="G125" s="201" t="s">
        <v>154</v>
      </c>
      <c r="H125" s="149" t="str">
        <f t="shared" si="13"/>
        <v>EU PROJEKTI SVEUČILIŠTE U SPLITU (IZ EVIDENCIJSKIH PRIHODA)</v>
      </c>
      <c r="I125" s="198">
        <v>30000</v>
      </c>
      <c r="J125" s="198">
        <v>29000</v>
      </c>
      <c r="K125" s="198">
        <v>25000</v>
      </c>
      <c r="M125" s="144" t="str">
        <f t="shared" si="14"/>
        <v>321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52</v>
      </c>
      <c r="D126" s="149" t="str">
        <f t="shared" si="12"/>
        <v>Ostale pomoći</v>
      </c>
      <c r="E126" s="154">
        <v>3213</v>
      </c>
      <c r="F126" s="149" t="str">
        <f t="shared" si="11"/>
        <v>Stručno usavršavanje zaposlenika</v>
      </c>
      <c r="G126" s="201" t="s">
        <v>154</v>
      </c>
      <c r="H126" s="149" t="str">
        <f t="shared" si="13"/>
        <v>EU PROJEKTI SVEUČILIŠTE U SPLITU (IZ EVIDENCIJSKIH PRIHODA)</v>
      </c>
      <c r="I126" s="198">
        <v>12000</v>
      </c>
      <c r="J126" s="198">
        <v>11000</v>
      </c>
      <c r="K126" s="198">
        <v>10000</v>
      </c>
      <c r="M126" s="144" t="str">
        <f t="shared" si="14"/>
        <v>321</v>
      </c>
      <c r="N126" s="144" t="str">
        <f t="shared" si="15"/>
        <v>32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52</v>
      </c>
      <c r="D127" s="149" t="str">
        <f t="shared" si="12"/>
        <v>Ostale pomoći</v>
      </c>
      <c r="E127" s="154">
        <v>3221</v>
      </c>
      <c r="F127" s="149" t="str">
        <f t="shared" si="11"/>
        <v>Uredski materijal i ostali materijalni rashodi</v>
      </c>
      <c r="G127" s="201" t="s">
        <v>154</v>
      </c>
      <c r="H127" s="149" t="str">
        <f t="shared" si="13"/>
        <v>EU PROJEKTI SVEUČILIŠTE U SPLITU (IZ EVIDENCIJSKIH PRIHODA)</v>
      </c>
      <c r="I127" s="198">
        <v>55000</v>
      </c>
      <c r="J127" s="198">
        <v>53000</v>
      </c>
      <c r="K127" s="198">
        <v>50000</v>
      </c>
      <c r="M127" s="144" t="str">
        <f t="shared" si="14"/>
        <v>322</v>
      </c>
      <c r="N127" s="144" t="str">
        <f t="shared" si="15"/>
        <v>32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52</v>
      </c>
      <c r="D128" s="149" t="str">
        <f t="shared" si="12"/>
        <v>Ostale pomoći</v>
      </c>
      <c r="E128" s="154">
        <v>3224</v>
      </c>
      <c r="F128" s="149" t="str">
        <f t="shared" si="11"/>
        <v>Materijal i dijelovi za tekuće i investicijsko održavanje</v>
      </c>
      <c r="G128" s="201" t="s">
        <v>154</v>
      </c>
      <c r="H128" s="149" t="str">
        <f t="shared" si="13"/>
        <v>EU PROJEKTI SVEUČILIŠTE U SPLITU (IZ EVIDENCIJSKIH PRIHODA)</v>
      </c>
      <c r="I128" s="198">
        <v>14000</v>
      </c>
      <c r="J128" s="198">
        <v>13000</v>
      </c>
      <c r="K128" s="198">
        <v>12000</v>
      </c>
      <c r="M128" s="144" t="str">
        <f t="shared" si="14"/>
        <v>322</v>
      </c>
      <c r="N128" s="144" t="str">
        <f t="shared" si="15"/>
        <v>32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52</v>
      </c>
      <c r="D129" s="149" t="str">
        <f t="shared" si="12"/>
        <v>Ostale pomoći</v>
      </c>
      <c r="E129" s="154">
        <v>3225</v>
      </c>
      <c r="F129" s="149" t="str">
        <f t="shared" si="11"/>
        <v>Sitni inventar i auto gume</v>
      </c>
      <c r="G129" s="201" t="s">
        <v>154</v>
      </c>
      <c r="H129" s="149" t="str">
        <f t="shared" si="13"/>
        <v>EU PROJEKTI SVEUČILIŠTE U SPLITU (IZ EVIDENCIJSKIH PRIHODA)</v>
      </c>
      <c r="I129" s="198">
        <v>9000</v>
      </c>
      <c r="J129" s="198">
        <v>8500</v>
      </c>
      <c r="K129" s="198">
        <v>8000</v>
      </c>
      <c r="M129" s="144" t="str">
        <f t="shared" si="14"/>
        <v>322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52</v>
      </c>
      <c r="D130" s="149" t="str">
        <f t="shared" si="12"/>
        <v>Ostale pomoći</v>
      </c>
      <c r="E130" s="154">
        <v>3231</v>
      </c>
      <c r="F130" s="149" t="str">
        <f t="shared" si="11"/>
        <v>Usluge telefona, pošte i prijevoza</v>
      </c>
      <c r="G130" s="201" t="s">
        <v>154</v>
      </c>
      <c r="H130" s="149" t="str">
        <f t="shared" si="13"/>
        <v>EU PROJEKTI SVEUČILIŠTE U SPLITU (IZ EVIDENCIJSKIH PRIHODA)</v>
      </c>
      <c r="I130" s="198">
        <v>0</v>
      </c>
      <c r="J130" s="198">
        <v>0</v>
      </c>
      <c r="K130" s="198">
        <v>0</v>
      </c>
      <c r="M130" s="144" t="str">
        <f t="shared" si="14"/>
        <v>323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52</v>
      </c>
      <c r="D131" s="149" t="str">
        <f t="shared" si="12"/>
        <v>Ostale pomoći</v>
      </c>
      <c r="E131" s="154">
        <v>3232</v>
      </c>
      <c r="F131" s="149" t="str">
        <f t="shared" ref="F131:F194" si="24">IFERROR(VLOOKUP(E131,$R$5:$T$129,2,FALSE),"")</f>
        <v>Usluge tekućeg i investicijskog održavanja</v>
      </c>
      <c r="G131" s="201" t="s">
        <v>154</v>
      </c>
      <c r="H131" s="149" t="str">
        <f t="shared" si="13"/>
        <v>EU PROJEKTI SVEUČILIŠTE U SPLITU (IZ EVIDENCIJSKIH PRIHODA)</v>
      </c>
      <c r="I131" s="198">
        <v>0</v>
      </c>
      <c r="J131" s="198">
        <v>0</v>
      </c>
      <c r="K131" s="198">
        <v>0</v>
      </c>
      <c r="M131" s="144" t="str">
        <f t="shared" si="14"/>
        <v>323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52</v>
      </c>
      <c r="D132" s="149" t="str">
        <f t="shared" ref="D132:D195" si="25">IFERROR(VLOOKUP(C132,$O$6:$P$16,2,FALSE),"")</f>
        <v>Ostale pomoći</v>
      </c>
      <c r="E132" s="154">
        <v>3237</v>
      </c>
      <c r="F132" s="149" t="str">
        <f t="shared" si="24"/>
        <v>Intelektualne i osobne usluge</v>
      </c>
      <c r="G132" s="201" t="s">
        <v>154</v>
      </c>
      <c r="H132" s="149" t="str">
        <f t="shared" ref="H132:H195" si="26">IFERROR(VLOOKUP(G132,$X$6:$Y$50,2,FALSE),"")</f>
        <v>EU PROJEKTI SVEUČILIŠTE U SPLITU (IZ EVIDENCIJSKIH PRIHODA)</v>
      </c>
      <c r="I132" s="198">
        <v>619000</v>
      </c>
      <c r="J132" s="198">
        <v>61000</v>
      </c>
      <c r="K132" s="198">
        <v>60000</v>
      </c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52</v>
      </c>
      <c r="D133" s="149" t="str">
        <f t="shared" si="25"/>
        <v>Ostale pomoći</v>
      </c>
      <c r="E133" s="154">
        <v>3239</v>
      </c>
      <c r="F133" s="149" t="str">
        <f t="shared" si="24"/>
        <v>Ostale usluge</v>
      </c>
      <c r="G133" s="201" t="s">
        <v>154</v>
      </c>
      <c r="H133" s="149" t="str">
        <f t="shared" si="26"/>
        <v>EU PROJEKTI SVEUČILIŠTE U SPLITU (IZ EVIDENCIJSKIH PRIHODA)</v>
      </c>
      <c r="I133" s="198">
        <v>0</v>
      </c>
      <c r="J133" s="198">
        <v>0</v>
      </c>
      <c r="K133" s="198">
        <v>0</v>
      </c>
      <c r="M133" s="144" t="str">
        <f t="shared" si="27"/>
        <v>323</v>
      </c>
      <c r="N133" s="144" t="str">
        <f t="shared" si="28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52</v>
      </c>
      <c r="D134" s="149" t="str">
        <f t="shared" si="25"/>
        <v>Ostale pomoći</v>
      </c>
      <c r="E134" s="154">
        <v>3293</v>
      </c>
      <c r="F134" s="149" t="str">
        <f t="shared" si="24"/>
        <v>Reprezentacija</v>
      </c>
      <c r="G134" s="201" t="s">
        <v>154</v>
      </c>
      <c r="H134" s="149" t="str">
        <f t="shared" si="26"/>
        <v>EU PROJEKTI SVEUČILIŠTE U SPLITU (IZ EVIDENCIJSKIH PRIHODA)</v>
      </c>
      <c r="I134" s="198">
        <v>5800</v>
      </c>
      <c r="J134" s="198">
        <v>5800</v>
      </c>
      <c r="K134" s="198">
        <v>5000</v>
      </c>
      <c r="M134" s="144" t="str">
        <f t="shared" si="27"/>
        <v>329</v>
      </c>
      <c r="N134" s="144" t="str">
        <f t="shared" si="28"/>
        <v>32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52</v>
      </c>
      <c r="D135" s="149" t="str">
        <f t="shared" si="25"/>
        <v>Ostale pomoći</v>
      </c>
      <c r="E135" s="154">
        <v>3294</v>
      </c>
      <c r="F135" s="149" t="str">
        <f t="shared" si="24"/>
        <v>Članarine i norme</v>
      </c>
      <c r="G135" s="201" t="s">
        <v>154</v>
      </c>
      <c r="H135" s="149" t="str">
        <f t="shared" si="26"/>
        <v>EU PROJEKTI SVEUČILIŠTE U SPLITU (IZ EVIDENCIJSKIH PRIHODA)</v>
      </c>
      <c r="I135" s="198">
        <v>5500</v>
      </c>
      <c r="J135" s="198">
        <v>5500</v>
      </c>
      <c r="K135" s="198">
        <v>5000</v>
      </c>
      <c r="M135" s="144" t="str">
        <f t="shared" si="27"/>
        <v>329</v>
      </c>
      <c r="N135" s="144" t="str">
        <f t="shared" si="28"/>
        <v>32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52</v>
      </c>
      <c r="D136" s="149" t="str">
        <f t="shared" si="25"/>
        <v>Ostale pomoći</v>
      </c>
      <c r="E136" s="154">
        <v>3299</v>
      </c>
      <c r="F136" s="149" t="str">
        <f t="shared" si="24"/>
        <v>Ostali nespomenuti rashodi poslovanja</v>
      </c>
      <c r="G136" s="201" t="s">
        <v>154</v>
      </c>
      <c r="H136" s="149" t="str">
        <f t="shared" si="26"/>
        <v>EU PROJEKTI SVEUČILIŠTE U SPLITU (IZ EVIDENCIJSKIH PRIHODA)</v>
      </c>
      <c r="I136" s="198">
        <v>24771</v>
      </c>
      <c r="J136" s="198">
        <v>24771</v>
      </c>
      <c r="K136" s="198">
        <v>16514</v>
      </c>
      <c r="M136" s="144" t="str">
        <f t="shared" si="27"/>
        <v>329</v>
      </c>
      <c r="N136" s="144" t="str">
        <f t="shared" si="28"/>
        <v>32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52</v>
      </c>
      <c r="D137" s="149" t="str">
        <f t="shared" si="25"/>
        <v>Ostale pomoći</v>
      </c>
      <c r="E137" s="154">
        <v>3241</v>
      </c>
      <c r="F137" s="149" t="str">
        <f t="shared" si="24"/>
        <v>Naknade troškova osobama izvan radnog odnosa</v>
      </c>
      <c r="G137" s="201" t="s">
        <v>154</v>
      </c>
      <c r="H137" s="149" t="str">
        <f t="shared" si="26"/>
        <v>EU PROJEKTI SVEUČILIŠTE U SPLITU (IZ EVIDENCIJSKIH PRIHODA)</v>
      </c>
      <c r="I137" s="198">
        <v>0</v>
      </c>
      <c r="J137" s="198">
        <v>0</v>
      </c>
      <c r="K137" s="198">
        <v>0</v>
      </c>
      <c r="M137" s="144" t="str">
        <f t="shared" si="27"/>
        <v>324</v>
      </c>
      <c r="N137" s="144" t="str">
        <f t="shared" si="28"/>
        <v>32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52</v>
      </c>
      <c r="D138" s="149" t="str">
        <f t="shared" si="25"/>
        <v>Ostale pomoći</v>
      </c>
      <c r="E138" s="154">
        <v>4221</v>
      </c>
      <c r="F138" s="149" t="str">
        <f t="shared" si="24"/>
        <v>Uredska oprema i namještaj</v>
      </c>
      <c r="G138" s="201" t="s">
        <v>154</v>
      </c>
      <c r="H138" s="149" t="str">
        <f t="shared" si="26"/>
        <v>EU PROJEKTI SVEUČILIŠTE U SPLITU (IZ EVIDENCIJSKIH PRIHODA)</v>
      </c>
      <c r="I138" s="198">
        <v>55000</v>
      </c>
      <c r="J138" s="198">
        <v>54000</v>
      </c>
      <c r="K138" s="198">
        <v>50000</v>
      </c>
      <c r="M138" s="144" t="str">
        <f t="shared" si="27"/>
        <v>422</v>
      </c>
      <c r="N138" s="144" t="str">
        <f t="shared" si="28"/>
        <v>42</v>
      </c>
    </row>
    <row r="139" spans="1:22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52</v>
      </c>
      <c r="D139" s="149" t="str">
        <f t="shared" si="25"/>
        <v>Ostale pomoći</v>
      </c>
      <c r="E139" s="154">
        <v>4222</v>
      </c>
      <c r="F139" s="149" t="str">
        <f t="shared" si="24"/>
        <v>Komunikacijska oprema</v>
      </c>
      <c r="G139" s="201" t="s">
        <v>154</v>
      </c>
      <c r="H139" s="149" t="str">
        <f t="shared" si="26"/>
        <v>EU PROJEKTI SVEUČILIŠTE U SPLITU (IZ EVIDENCIJSKIH PRIHODA)</v>
      </c>
      <c r="I139" s="198">
        <v>11500</v>
      </c>
      <c r="J139" s="198">
        <v>11000</v>
      </c>
      <c r="K139" s="198">
        <v>10000</v>
      </c>
      <c r="M139" s="144" t="str">
        <f t="shared" si="27"/>
        <v>422</v>
      </c>
      <c r="N139" s="144" t="str">
        <f t="shared" si="28"/>
        <v>42</v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52</v>
      </c>
      <c r="D140" s="149" t="str">
        <f t="shared" si="25"/>
        <v>Ostale pomoći</v>
      </c>
      <c r="E140" s="154">
        <v>4224</v>
      </c>
      <c r="F140" s="149" t="str">
        <f t="shared" si="24"/>
        <v>Medicinska i laboratorijska oprema</v>
      </c>
      <c r="G140" s="201" t="s">
        <v>154</v>
      </c>
      <c r="H140" s="149" t="str">
        <f t="shared" si="26"/>
        <v>EU PROJEKTI SVEUČILIŠTE U SPLITU (IZ EVIDENCIJSKIH PRIHODA)</v>
      </c>
      <c r="I140" s="198">
        <v>31750</v>
      </c>
      <c r="J140" s="198">
        <v>32542</v>
      </c>
      <c r="K140" s="198">
        <v>30000</v>
      </c>
      <c r="M140" s="144" t="str">
        <f t="shared" si="27"/>
        <v>422</v>
      </c>
      <c r="N140" s="144" t="str">
        <f t="shared" si="28"/>
        <v>42</v>
      </c>
    </row>
    <row r="141" spans="1:22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52</v>
      </c>
      <c r="D141" s="149" t="str">
        <f t="shared" si="25"/>
        <v>Ostale pomoći</v>
      </c>
      <c r="E141" s="154">
        <v>4225</v>
      </c>
      <c r="F141" s="149" t="str">
        <f t="shared" si="24"/>
        <v>Instrumenti, uređaji i strojevi</v>
      </c>
      <c r="G141" s="201" t="s">
        <v>154</v>
      </c>
      <c r="H141" s="149" t="str">
        <f t="shared" si="26"/>
        <v>EU PROJEKTI SVEUČILIŠTE U SPLITU (IZ EVIDENCIJSKIH PRIHODA)</v>
      </c>
      <c r="I141" s="198">
        <v>0</v>
      </c>
      <c r="J141" s="198">
        <v>0</v>
      </c>
      <c r="K141" s="198">
        <v>0</v>
      </c>
      <c r="M141" s="144" t="str">
        <f t="shared" si="27"/>
        <v>422</v>
      </c>
      <c r="N141" s="144" t="str">
        <f t="shared" si="28"/>
        <v>42</v>
      </c>
    </row>
    <row r="142" spans="1:22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52</v>
      </c>
      <c r="D142" s="149" t="str">
        <f t="shared" si="25"/>
        <v>Ostale pomoći</v>
      </c>
      <c r="E142" s="154">
        <v>4227</v>
      </c>
      <c r="F142" s="149" t="str">
        <f t="shared" si="24"/>
        <v>Uređaji, strojevi i oprema za ostale namjene</v>
      </c>
      <c r="G142" s="201" t="s">
        <v>154</v>
      </c>
      <c r="H142" s="149" t="str">
        <f t="shared" si="26"/>
        <v>EU PROJEKTI SVEUČILIŠTE U SPLITU (IZ EVIDENCIJSKIH PRIHODA)</v>
      </c>
      <c r="I142" s="198">
        <v>20000</v>
      </c>
      <c r="J142" s="198">
        <v>18000</v>
      </c>
      <c r="K142" s="198">
        <v>15000</v>
      </c>
      <c r="M142" s="144" t="str">
        <f t="shared" si="27"/>
        <v>422</v>
      </c>
      <c r="N142" s="144" t="str">
        <f t="shared" si="28"/>
        <v>42</v>
      </c>
    </row>
    <row r="143" spans="1:22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52</v>
      </c>
      <c r="D143" s="149" t="str">
        <f t="shared" si="25"/>
        <v>Ostale pomoći</v>
      </c>
      <c r="E143" s="154">
        <v>4241</v>
      </c>
      <c r="F143" s="149" t="str">
        <f t="shared" si="24"/>
        <v>Knjige</v>
      </c>
      <c r="G143" s="201" t="s">
        <v>154</v>
      </c>
      <c r="H143" s="149" t="str">
        <f t="shared" si="26"/>
        <v>EU PROJEKTI SVEUČILIŠTE U SPLITU (IZ EVIDENCIJSKIH PRIHODA)</v>
      </c>
      <c r="I143" s="198">
        <v>5282</v>
      </c>
      <c r="J143" s="198">
        <v>5082</v>
      </c>
      <c r="K143" s="198">
        <v>4082</v>
      </c>
      <c r="M143" s="144" t="str">
        <f t="shared" si="27"/>
        <v>424</v>
      </c>
      <c r="N143" s="144" t="str">
        <f t="shared" si="28"/>
        <v>42</v>
      </c>
    </row>
    <row r="144" spans="1:22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52</v>
      </c>
      <c r="D144" s="149" t="str">
        <f t="shared" si="25"/>
        <v>Ostale pomoći</v>
      </c>
      <c r="E144" s="154">
        <v>4262</v>
      </c>
      <c r="F144" s="149" t="str">
        <f t="shared" si="24"/>
        <v>Ulaganja u računalne programe</v>
      </c>
      <c r="G144" s="201" t="s">
        <v>154</v>
      </c>
      <c r="H144" s="149" t="str">
        <f t="shared" si="26"/>
        <v>EU PROJEKTI SVEUČILIŠTE U SPLITU (IZ EVIDENCIJSKIH PRIHODA)</v>
      </c>
      <c r="I144" s="198">
        <v>11000</v>
      </c>
      <c r="J144" s="198">
        <v>11500</v>
      </c>
      <c r="K144" s="198">
        <v>10000</v>
      </c>
      <c r="M144" s="144" t="str">
        <f t="shared" si="27"/>
        <v>426</v>
      </c>
      <c r="N144" s="144" t="str">
        <f t="shared" si="28"/>
        <v>42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52</v>
      </c>
      <c r="D145" s="149" t="str">
        <f t="shared" si="25"/>
        <v>Ostale pomoći</v>
      </c>
      <c r="E145" s="154">
        <v>3111</v>
      </c>
      <c r="F145" s="149" t="str">
        <f t="shared" si="24"/>
        <v>Plaće za redovan rad</v>
      </c>
      <c r="G145" s="201" t="s">
        <v>200</v>
      </c>
      <c r="H145" s="149" t="str">
        <f t="shared" si="26"/>
        <v>REDOVNA DJELATNOST SVEUČILIŠTA U SPLITU (IZ EVIDENCIJSKIH PRIHODA)</v>
      </c>
      <c r="I145" s="198">
        <v>380432</v>
      </c>
      <c r="J145" s="198">
        <v>380432</v>
      </c>
      <c r="K145" s="198">
        <v>380432</v>
      </c>
      <c r="M145" s="144" t="str">
        <f t="shared" si="27"/>
        <v>311</v>
      </c>
      <c r="N145" s="144" t="str">
        <f t="shared" si="28"/>
        <v>31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52</v>
      </c>
      <c r="D146" s="149" t="str">
        <f t="shared" si="25"/>
        <v>Ostale pomoći</v>
      </c>
      <c r="E146" s="154">
        <v>3132</v>
      </c>
      <c r="F146" s="149" t="str">
        <f t="shared" si="24"/>
        <v>Doprinosi za obvezno zdravstveno osiguranje</v>
      </c>
      <c r="G146" s="201" t="s">
        <v>200</v>
      </c>
      <c r="H146" s="149" t="str">
        <f t="shared" si="26"/>
        <v>REDOVNA DJELATNOST SVEUČILIŠTA U SPLITU (IZ EVIDENCIJSKIH PRIHODA)</v>
      </c>
      <c r="I146" s="198">
        <v>62772</v>
      </c>
      <c r="J146" s="198">
        <v>62772</v>
      </c>
      <c r="K146" s="198">
        <v>62772</v>
      </c>
      <c r="M146" s="144" t="str">
        <f t="shared" si="27"/>
        <v>313</v>
      </c>
      <c r="N146" s="144" t="str">
        <f t="shared" si="28"/>
        <v>31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52</v>
      </c>
      <c r="D147" s="149" t="str">
        <f t="shared" si="25"/>
        <v>Ostale pomoći</v>
      </c>
      <c r="E147" s="154">
        <v>3121</v>
      </c>
      <c r="F147" s="149" t="str">
        <f t="shared" si="24"/>
        <v>Ostali rashodi za zaposlene</v>
      </c>
      <c r="G147" s="201" t="s">
        <v>200</v>
      </c>
      <c r="H147" s="149" t="str">
        <f t="shared" si="26"/>
        <v>REDOVNA DJELATNOST SVEUČILIŠTA U SPLITU (IZ EVIDENCIJSKIH PRIHODA)</v>
      </c>
      <c r="I147" s="198">
        <v>20000</v>
      </c>
      <c r="J147" s="198">
        <v>20000</v>
      </c>
      <c r="K147" s="198">
        <v>20000</v>
      </c>
      <c r="M147" s="144" t="str">
        <f t="shared" si="27"/>
        <v>312</v>
      </c>
      <c r="N147" s="144" t="str">
        <f t="shared" si="28"/>
        <v>31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52</v>
      </c>
      <c r="D148" s="149" t="str">
        <f t="shared" si="25"/>
        <v>Ostale pomoći</v>
      </c>
      <c r="E148" s="154">
        <v>3211</v>
      </c>
      <c r="F148" s="149" t="str">
        <f t="shared" si="24"/>
        <v>Službena putovanja</v>
      </c>
      <c r="G148" s="201" t="s">
        <v>200</v>
      </c>
      <c r="H148" s="149" t="str">
        <f t="shared" si="26"/>
        <v>REDOVNA DJELATNOST SVEUČILIŠTA U SPLITU (IZ EVIDENCIJSKIH PRIHODA)</v>
      </c>
      <c r="I148" s="198">
        <v>482320</v>
      </c>
      <c r="J148" s="198">
        <v>643872</v>
      </c>
      <c r="K148" s="198">
        <v>658207</v>
      </c>
      <c r="M148" s="144" t="str">
        <f t="shared" si="27"/>
        <v>321</v>
      </c>
      <c r="N148" s="144" t="str">
        <f t="shared" si="28"/>
        <v>32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52</v>
      </c>
      <c r="D149" s="149" t="str">
        <f t="shared" si="25"/>
        <v>Ostale pomoći</v>
      </c>
      <c r="E149" s="154">
        <v>3213</v>
      </c>
      <c r="F149" s="149" t="str">
        <f t="shared" si="24"/>
        <v>Stručno usavršavanje zaposlenika</v>
      </c>
      <c r="G149" s="201" t="s">
        <v>200</v>
      </c>
      <c r="H149" s="149" t="str">
        <f t="shared" si="26"/>
        <v>REDOVNA DJELATNOST SVEUČILIŠTA U SPLITU (IZ EVIDENCIJSKIH PRIHODA)</v>
      </c>
      <c r="I149" s="198">
        <v>37000</v>
      </c>
      <c r="J149" s="198">
        <v>57000</v>
      </c>
      <c r="K149" s="198">
        <v>57000</v>
      </c>
      <c r="M149" s="144" t="str">
        <f t="shared" si="27"/>
        <v>321</v>
      </c>
      <c r="N149" s="144" t="str">
        <f t="shared" si="28"/>
        <v>32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52</v>
      </c>
      <c r="D150" s="149" t="str">
        <f t="shared" si="25"/>
        <v>Ostale pomoći</v>
      </c>
      <c r="E150" s="154">
        <v>3221</v>
      </c>
      <c r="F150" s="149" t="str">
        <f t="shared" si="24"/>
        <v>Uredski materijal i ostali materijalni rashodi</v>
      </c>
      <c r="G150" s="201" t="s">
        <v>200</v>
      </c>
      <c r="H150" s="149" t="str">
        <f t="shared" si="26"/>
        <v>REDOVNA DJELATNOST SVEUČILIŠTA U SPLITU (IZ EVIDENCIJSKIH PRIHODA)</v>
      </c>
      <c r="I150" s="198">
        <v>135000</v>
      </c>
      <c r="J150" s="198">
        <v>150000</v>
      </c>
      <c r="K150" s="198">
        <v>150000</v>
      </c>
      <c r="M150" s="144" t="str">
        <f t="shared" si="27"/>
        <v>322</v>
      </c>
      <c r="N150" s="144" t="str">
        <f t="shared" si="28"/>
        <v>32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52</v>
      </c>
      <c r="D151" s="149" t="str">
        <f t="shared" si="25"/>
        <v>Ostale pomoći</v>
      </c>
      <c r="E151" s="154">
        <v>3225</v>
      </c>
      <c r="F151" s="149" t="str">
        <f t="shared" si="24"/>
        <v>Sitni inventar i auto gume</v>
      </c>
      <c r="G151" s="201" t="s">
        <v>200</v>
      </c>
      <c r="H151" s="149" t="str">
        <f t="shared" si="26"/>
        <v>REDOVNA DJELATNOST SVEUČILIŠTA U SPLITU (IZ EVIDENCIJSKIH PRIHODA)</v>
      </c>
      <c r="I151" s="198">
        <v>5000</v>
      </c>
      <c r="J151" s="198">
        <v>5000</v>
      </c>
      <c r="K151" s="198">
        <v>5000</v>
      </c>
      <c r="M151" s="144" t="str">
        <f t="shared" si="27"/>
        <v>322</v>
      </c>
      <c r="N151" s="144" t="str">
        <f t="shared" si="28"/>
        <v>32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52</v>
      </c>
      <c r="D152" s="149" t="str">
        <f t="shared" si="25"/>
        <v>Ostale pomoći</v>
      </c>
      <c r="E152" s="154">
        <v>3237</v>
      </c>
      <c r="F152" s="149" t="str">
        <f t="shared" si="24"/>
        <v>Intelektualne i osobne usluge</v>
      </c>
      <c r="G152" s="201" t="s">
        <v>200</v>
      </c>
      <c r="H152" s="149" t="str">
        <f t="shared" si="26"/>
        <v>REDOVNA DJELATNOST SVEUČILIŠTA U SPLITU (IZ EVIDENCIJSKIH PRIHODA)</v>
      </c>
      <c r="I152" s="198">
        <v>421846</v>
      </c>
      <c r="J152" s="198">
        <v>864000</v>
      </c>
      <c r="K152" s="198">
        <v>864000</v>
      </c>
      <c r="M152" s="144" t="str">
        <f t="shared" si="27"/>
        <v>323</v>
      </c>
      <c r="N152" s="144" t="str">
        <f t="shared" si="28"/>
        <v>32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52</v>
      </c>
      <c r="D153" s="149" t="str">
        <f t="shared" si="25"/>
        <v>Ostale pomoći</v>
      </c>
      <c r="E153" s="154">
        <v>3239</v>
      </c>
      <c r="F153" s="149" t="str">
        <f t="shared" si="24"/>
        <v>Ostale usluge</v>
      </c>
      <c r="G153" s="201" t="s">
        <v>200</v>
      </c>
      <c r="H153" s="149" t="str">
        <f t="shared" si="26"/>
        <v>REDOVNA DJELATNOST SVEUČILIŠTA U SPLITU (IZ EVIDENCIJSKIH PRIHODA)</v>
      </c>
      <c r="I153" s="198">
        <v>15000</v>
      </c>
      <c r="J153" s="198">
        <v>15000</v>
      </c>
      <c r="K153" s="198">
        <v>15000</v>
      </c>
      <c r="M153" s="144" t="str">
        <f t="shared" si="27"/>
        <v>323</v>
      </c>
      <c r="N153" s="144" t="str">
        <f t="shared" si="28"/>
        <v>32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52</v>
      </c>
      <c r="D154" s="149" t="str">
        <f t="shared" si="25"/>
        <v>Ostale pomoći</v>
      </c>
      <c r="E154" s="154">
        <v>3294</v>
      </c>
      <c r="F154" s="149" t="str">
        <f t="shared" si="24"/>
        <v>Članarine i norme</v>
      </c>
      <c r="G154" s="201" t="s">
        <v>200</v>
      </c>
      <c r="H154" s="149" t="str">
        <f t="shared" si="26"/>
        <v>REDOVNA DJELATNOST SVEUČILIŠTA U SPLITU (IZ EVIDENCIJSKIH PRIHODA)</v>
      </c>
      <c r="I154" s="198">
        <v>5000</v>
      </c>
      <c r="J154" s="198">
        <v>5000</v>
      </c>
      <c r="K154" s="198">
        <v>5000</v>
      </c>
      <c r="M154" s="144" t="str">
        <f t="shared" si="27"/>
        <v>329</v>
      </c>
      <c r="N154" s="144" t="str">
        <f t="shared" si="28"/>
        <v>32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52</v>
      </c>
      <c r="D155" s="149" t="str">
        <f t="shared" si="25"/>
        <v>Ostale pomoći</v>
      </c>
      <c r="E155" s="154">
        <v>4221</v>
      </c>
      <c r="F155" s="149" t="str">
        <f t="shared" si="24"/>
        <v>Uredska oprema i namještaj</v>
      </c>
      <c r="G155" s="201" t="s">
        <v>200</v>
      </c>
      <c r="H155" s="149" t="str">
        <f t="shared" si="26"/>
        <v>REDOVNA DJELATNOST SVEUČILIŠTA U SPLITU (IZ EVIDENCIJSKIH PRIHODA)</v>
      </c>
      <c r="I155" s="198">
        <v>110000</v>
      </c>
      <c r="J155" s="198">
        <v>101763</v>
      </c>
      <c r="K155" s="198">
        <v>101759</v>
      </c>
      <c r="M155" s="144" t="str">
        <f t="shared" si="27"/>
        <v>422</v>
      </c>
      <c r="N155" s="144" t="str">
        <f t="shared" si="28"/>
        <v>42</v>
      </c>
    </row>
    <row r="156" spans="1:14">
      <c r="A156" s="148" t="str">
        <f>IF(C156="","",VLOOKUP('Opći dio'!$C$3,'Opći dio'!$L$6:$U$135,10,FALSE))</f>
        <v>08006</v>
      </c>
      <c r="B156" s="148" t="str">
        <f>IF(C156="","",VLOOKUP('Opći dio'!$C$3,'Opći dio'!$L$6:$U$135,9,FALSE))</f>
        <v>Sveučilišta i veleučilišta u Republici Hrvatskoj</v>
      </c>
      <c r="C156" s="154">
        <v>52</v>
      </c>
      <c r="D156" s="149" t="str">
        <f t="shared" si="25"/>
        <v>Ostale pomoći</v>
      </c>
      <c r="E156" s="154">
        <v>3224</v>
      </c>
      <c r="F156" s="149" t="str">
        <f t="shared" si="24"/>
        <v>Materijal i dijelovi za tekuće i investicijsko održavanje</v>
      </c>
      <c r="G156" s="201" t="s">
        <v>200</v>
      </c>
      <c r="H156" s="149" t="str">
        <f t="shared" si="26"/>
        <v>REDOVNA DJELATNOST SVEUČILIŠTA U SPLITU (IZ EVIDENCIJSKIH PRIHODA)</v>
      </c>
      <c r="I156" s="198">
        <v>4000</v>
      </c>
      <c r="J156" s="198">
        <v>4000</v>
      </c>
      <c r="K156" s="198">
        <v>4000</v>
      </c>
      <c r="M156" s="144" t="str">
        <f t="shared" si="27"/>
        <v>322</v>
      </c>
      <c r="N156" s="144" t="str">
        <f t="shared" si="28"/>
        <v>32</v>
      </c>
    </row>
    <row r="157" spans="1:14">
      <c r="A157" s="148" t="str">
        <f>IF(C157="","",VLOOKUP('Opći dio'!$C$3,'Opći dio'!$L$6:$U$135,10,FALSE))</f>
        <v>08006</v>
      </c>
      <c r="B157" s="148" t="str">
        <f>IF(C157="","",VLOOKUP('Opći dio'!$C$3,'Opći dio'!$L$6:$U$135,9,FALSE))</f>
        <v>Sveučilišta i veleučilišta u Republici Hrvatskoj</v>
      </c>
      <c r="C157" s="154">
        <v>52</v>
      </c>
      <c r="D157" s="149" t="str">
        <f t="shared" si="25"/>
        <v>Ostale pomoći</v>
      </c>
      <c r="E157" s="154">
        <v>3231</v>
      </c>
      <c r="F157" s="149" t="str">
        <f t="shared" si="24"/>
        <v>Usluge telefona, pošte i prijevoza</v>
      </c>
      <c r="G157" s="201" t="s">
        <v>200</v>
      </c>
      <c r="H157" s="149" t="str">
        <f t="shared" si="26"/>
        <v>REDOVNA DJELATNOST SVEUČILIŠTA U SPLITU (IZ EVIDENCIJSKIH PRIHODA)</v>
      </c>
      <c r="I157" s="198">
        <v>1150</v>
      </c>
      <c r="J157" s="198">
        <v>1150</v>
      </c>
      <c r="K157" s="198">
        <v>1150</v>
      </c>
      <c r="M157" s="144" t="str">
        <f t="shared" si="27"/>
        <v>323</v>
      </c>
      <c r="N157" s="144" t="str">
        <f t="shared" si="28"/>
        <v>32</v>
      </c>
    </row>
    <row r="158" spans="1:14">
      <c r="A158" s="148" t="str">
        <f>IF(C158="","",VLOOKUP('Opći dio'!$C$3,'Opći dio'!$L$6:$U$135,10,FALSE))</f>
        <v>08006</v>
      </c>
      <c r="B158" s="148" t="str">
        <f>IF(C158="","",VLOOKUP('Opći dio'!$C$3,'Opći dio'!$L$6:$U$135,9,FALSE))</f>
        <v>Sveučilišta i veleučilišta u Republici Hrvatskoj</v>
      </c>
      <c r="C158" s="154">
        <v>52</v>
      </c>
      <c r="D158" s="149" t="str">
        <f t="shared" si="25"/>
        <v>Ostale pomoći</v>
      </c>
      <c r="E158" s="154">
        <v>3232</v>
      </c>
      <c r="F158" s="149" t="str">
        <f t="shared" si="24"/>
        <v>Usluge tekućeg i investicijskog održavanja</v>
      </c>
      <c r="G158" s="201" t="s">
        <v>200</v>
      </c>
      <c r="H158" s="149" t="str">
        <f t="shared" si="26"/>
        <v>REDOVNA DJELATNOST SVEUČILIŠTA U SPLITU (IZ EVIDENCIJSKIH PRIHODA)</v>
      </c>
      <c r="I158" s="198">
        <v>5000</v>
      </c>
      <c r="J158" s="198">
        <v>5000</v>
      </c>
      <c r="K158" s="198">
        <v>5000</v>
      </c>
      <c r="M158" s="144" t="str">
        <f t="shared" si="27"/>
        <v>323</v>
      </c>
      <c r="N158" s="144" t="str">
        <f t="shared" si="28"/>
        <v>32</v>
      </c>
    </row>
    <row r="159" spans="1:14">
      <c r="A159" s="148" t="str">
        <f>IF(C159="","",VLOOKUP('Opći dio'!$C$3,'Opći dio'!$L$6:$U$135,10,FALSE))</f>
        <v>08006</v>
      </c>
      <c r="B159" s="148" t="str">
        <f>IF(C159="","",VLOOKUP('Opći dio'!$C$3,'Opći dio'!$L$6:$U$135,9,FALSE))</f>
        <v>Sveučilišta i veleučilišta u Republici Hrvatskoj</v>
      </c>
      <c r="C159" s="154">
        <v>52</v>
      </c>
      <c r="D159" s="149" t="str">
        <f t="shared" si="25"/>
        <v>Ostale pomoći</v>
      </c>
      <c r="E159" s="154">
        <v>3241</v>
      </c>
      <c r="F159" s="149" t="str">
        <f t="shared" si="24"/>
        <v>Naknade troškova osobama izvan radnog odnosa</v>
      </c>
      <c r="G159" s="201" t="s">
        <v>200</v>
      </c>
      <c r="H159" s="149" t="str">
        <f t="shared" si="26"/>
        <v>REDOVNA DJELATNOST SVEUČILIŠTA U SPLITU (IZ EVIDENCIJSKIH PRIHODA)</v>
      </c>
      <c r="I159" s="198">
        <v>77000</v>
      </c>
      <c r="J159" s="198">
        <v>77000</v>
      </c>
      <c r="K159" s="198">
        <v>77000</v>
      </c>
      <c r="M159" s="144" t="str">
        <f t="shared" si="27"/>
        <v>324</v>
      </c>
      <c r="N159" s="144" t="str">
        <f t="shared" si="28"/>
        <v>32</v>
      </c>
    </row>
    <row r="160" spans="1:14">
      <c r="A160" s="148" t="str">
        <f>IF(C160="","",VLOOKUP('Opći dio'!$C$3,'Opći dio'!$L$6:$U$135,10,FALSE))</f>
        <v>08006</v>
      </c>
      <c r="B160" s="148" t="str">
        <f>IF(C160="","",VLOOKUP('Opći dio'!$C$3,'Opći dio'!$L$6:$U$135,9,FALSE))</f>
        <v>Sveučilišta i veleučilišta u Republici Hrvatskoj</v>
      </c>
      <c r="C160" s="154">
        <v>52</v>
      </c>
      <c r="D160" s="149" t="str">
        <f t="shared" si="25"/>
        <v>Ostale pomoći</v>
      </c>
      <c r="E160" s="154">
        <v>4222</v>
      </c>
      <c r="F160" s="149" t="str">
        <f t="shared" si="24"/>
        <v>Komunikacijska oprema</v>
      </c>
      <c r="G160" s="201" t="s">
        <v>200</v>
      </c>
      <c r="H160" s="149" t="str">
        <f t="shared" si="26"/>
        <v>REDOVNA DJELATNOST SVEUČILIŠTA U SPLITU (IZ EVIDENCIJSKIH PRIHODA)</v>
      </c>
      <c r="I160" s="198">
        <v>15000</v>
      </c>
      <c r="J160" s="198">
        <v>15000</v>
      </c>
      <c r="K160" s="198">
        <v>15000</v>
      </c>
      <c r="M160" s="144" t="str">
        <f t="shared" si="27"/>
        <v>422</v>
      </c>
      <c r="N160" s="144" t="str">
        <f t="shared" si="28"/>
        <v>42</v>
      </c>
    </row>
    <row r="161" spans="1:14">
      <c r="A161" s="148" t="str">
        <f>IF(C161="","",VLOOKUP('Opći dio'!$C$3,'Opći dio'!$L$6:$U$135,10,FALSE))</f>
        <v>08006</v>
      </c>
      <c r="B161" s="148" t="str">
        <f>IF(C161="","",VLOOKUP('Opći dio'!$C$3,'Opći dio'!$L$6:$U$135,9,FALSE))</f>
        <v>Sveučilišta i veleučilišta u Republici Hrvatskoj</v>
      </c>
      <c r="C161" s="154">
        <v>52</v>
      </c>
      <c r="D161" s="149" t="str">
        <f t="shared" si="25"/>
        <v>Ostale pomoći</v>
      </c>
      <c r="E161" s="154">
        <v>4224</v>
      </c>
      <c r="F161" s="149" t="str">
        <f t="shared" si="24"/>
        <v>Medicinska i laboratorijska oprema</v>
      </c>
      <c r="G161" s="201" t="s">
        <v>200</v>
      </c>
      <c r="H161" s="149" t="str">
        <f t="shared" si="26"/>
        <v>REDOVNA DJELATNOST SVEUČILIŠTA U SPLITU (IZ EVIDENCIJSKIH PRIHODA)</v>
      </c>
      <c r="I161" s="198">
        <v>20000</v>
      </c>
      <c r="J161" s="198">
        <v>20000</v>
      </c>
      <c r="K161" s="198">
        <v>20000</v>
      </c>
      <c r="M161" s="144" t="str">
        <f t="shared" si="27"/>
        <v>422</v>
      </c>
      <c r="N161" s="144" t="str">
        <f t="shared" si="28"/>
        <v>42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52</v>
      </c>
      <c r="D162" s="149" t="str">
        <f t="shared" si="25"/>
        <v>Ostale pomoći</v>
      </c>
      <c r="E162" s="154">
        <v>4225</v>
      </c>
      <c r="F162" s="149" t="str">
        <f t="shared" si="24"/>
        <v>Instrumenti, uređaji i strojevi</v>
      </c>
      <c r="G162" s="201" t="s">
        <v>200</v>
      </c>
      <c r="H162" s="149" t="str">
        <f t="shared" si="26"/>
        <v>REDOVNA DJELATNOST SVEUČILIŠTA U SPLITU (IZ EVIDENCIJSKIH PRIHODA)</v>
      </c>
      <c r="I162" s="198">
        <v>5000</v>
      </c>
      <c r="J162" s="198">
        <v>5000</v>
      </c>
      <c r="K162" s="198">
        <v>5000</v>
      </c>
      <c r="M162" s="144" t="str">
        <f t="shared" si="27"/>
        <v>422</v>
      </c>
      <c r="N162" s="144" t="str">
        <f t="shared" si="28"/>
        <v>42</v>
      </c>
    </row>
    <row r="163" spans="1:14">
      <c r="A163" s="148" t="str">
        <f>IF(C163="","",VLOOKUP('Opći dio'!$C$3,'Opći dio'!$L$6:$U$135,10,FALSE))</f>
        <v>08006</v>
      </c>
      <c r="B163" s="148" t="str">
        <f>IF(C163="","",VLOOKUP('Opći dio'!$C$3,'Opći dio'!$L$6:$U$135,9,FALSE))</f>
        <v>Sveučilišta i veleučilišta u Republici Hrvatskoj</v>
      </c>
      <c r="C163" s="154">
        <v>561</v>
      </c>
      <c r="D163" s="149" t="str">
        <f t="shared" si="25"/>
        <v>Europski socijalni fond (ESF)</v>
      </c>
      <c r="E163" s="154">
        <v>3111</v>
      </c>
      <c r="F163" s="149" t="str">
        <f t="shared" si="24"/>
        <v>Plaće za redovan rad</v>
      </c>
      <c r="G163" s="201" t="s">
        <v>897</v>
      </c>
      <c r="H163" s="149" t="str">
        <f t="shared" si="26"/>
        <v>OP UČINKOVITI LJUDSKI POTENCIJALI 2014.-2020., PRIORITET 3</v>
      </c>
      <c r="I163" s="198">
        <v>126838</v>
      </c>
      <c r="J163" s="198">
        <v>115857</v>
      </c>
      <c r="K163" s="198">
        <v>0</v>
      </c>
      <c r="M163" s="144" t="str">
        <f t="shared" si="27"/>
        <v>311</v>
      </c>
      <c r="N163" s="144" t="str">
        <f t="shared" si="28"/>
        <v>31</v>
      </c>
    </row>
    <row r="164" spans="1:14">
      <c r="A164" s="148" t="str">
        <f>IF(C164="","",VLOOKUP('Opći dio'!$C$3,'Opći dio'!$L$6:$U$135,10,FALSE))</f>
        <v>08006</v>
      </c>
      <c r="B164" s="148" t="str">
        <f>IF(C164="","",VLOOKUP('Opći dio'!$C$3,'Opći dio'!$L$6:$U$135,9,FALSE))</f>
        <v>Sveučilišta i veleučilišta u Republici Hrvatskoj</v>
      </c>
      <c r="C164" s="154">
        <v>561</v>
      </c>
      <c r="D164" s="149" t="str">
        <f t="shared" si="25"/>
        <v>Europski socijalni fond (ESF)</v>
      </c>
      <c r="E164" s="154">
        <v>3132</v>
      </c>
      <c r="F164" s="149" t="str">
        <f t="shared" si="24"/>
        <v>Doprinosi za obvezno zdravstveno osiguranje</v>
      </c>
      <c r="G164" s="201" t="s">
        <v>897</v>
      </c>
      <c r="H164" s="149" t="str">
        <f t="shared" si="26"/>
        <v>OP UČINKOVITI LJUDSKI POTENCIJALI 2014.-2020., PRIORITET 3</v>
      </c>
      <c r="I164" s="198">
        <v>20928</v>
      </c>
      <c r="J164" s="198">
        <v>19116</v>
      </c>
      <c r="K164" s="198">
        <v>0</v>
      </c>
      <c r="M164" s="144" t="str">
        <f t="shared" si="27"/>
        <v>313</v>
      </c>
      <c r="N164" s="144" t="str">
        <f t="shared" si="28"/>
        <v>31</v>
      </c>
    </row>
    <row r="165" spans="1:14">
      <c r="A165" s="148" t="str">
        <f>IF(C165="","",VLOOKUP('Opći dio'!$C$3,'Opći dio'!$L$6:$U$135,10,FALSE))</f>
        <v>08006</v>
      </c>
      <c r="B165" s="148" t="str">
        <f>IF(C165="","",VLOOKUP('Opći dio'!$C$3,'Opći dio'!$L$6:$U$135,9,FALSE))</f>
        <v>Sveučilišta i veleučilišta u Republici Hrvatskoj</v>
      </c>
      <c r="C165" s="154">
        <v>561</v>
      </c>
      <c r="D165" s="149" t="str">
        <f t="shared" si="25"/>
        <v>Europski socijalni fond (ESF)</v>
      </c>
      <c r="E165" s="154">
        <v>3221</v>
      </c>
      <c r="F165" s="149" t="str">
        <f t="shared" si="24"/>
        <v>Uredski materijal i ostali materijalni rashodi</v>
      </c>
      <c r="G165" s="201" t="s">
        <v>897</v>
      </c>
      <c r="H165" s="149" t="str">
        <f t="shared" si="26"/>
        <v>OP UČINKOVITI LJUDSKI POTENCIJALI 2014.-2020., PRIORITET 3</v>
      </c>
      <c r="I165" s="198">
        <v>22165</v>
      </c>
      <c r="J165" s="198">
        <v>20246</v>
      </c>
      <c r="K165" s="198">
        <v>0</v>
      </c>
      <c r="M165" s="144" t="str">
        <f t="shared" si="27"/>
        <v>322</v>
      </c>
      <c r="N165" s="144" t="str">
        <f t="shared" si="28"/>
        <v>32</v>
      </c>
    </row>
    <row r="166" spans="1:14">
      <c r="A166" s="148" t="str">
        <f>IF(C166="","",VLOOKUP('Opći dio'!$C$3,'Opći dio'!$L$6:$U$135,10,FALSE))</f>
        <v>08006</v>
      </c>
      <c r="B166" s="148" t="str">
        <f>IF(C166="","",VLOOKUP('Opći dio'!$C$3,'Opći dio'!$L$6:$U$135,9,FALSE))</f>
        <v>Sveučilišta i veleučilišta u Republici Hrvatskoj</v>
      </c>
      <c r="C166" s="154">
        <v>561</v>
      </c>
      <c r="D166" s="149" t="str">
        <f t="shared" si="25"/>
        <v>Europski socijalni fond (ESF)</v>
      </c>
      <c r="E166" s="154">
        <v>3237</v>
      </c>
      <c r="F166" s="149" t="str">
        <f t="shared" si="24"/>
        <v>Intelektualne i osobne usluge</v>
      </c>
      <c r="G166" s="201" t="s">
        <v>897</v>
      </c>
      <c r="H166" s="149" t="str">
        <f t="shared" si="26"/>
        <v>OP UČINKOVITI LJUDSKI POTENCIJALI 2014.-2020., PRIORITET 3</v>
      </c>
      <c r="I166" s="198">
        <v>436515</v>
      </c>
      <c r="J166" s="198">
        <v>118966</v>
      </c>
      <c r="K166" s="198"/>
      <c r="M166" s="144" t="str">
        <f t="shared" si="27"/>
        <v>323</v>
      </c>
      <c r="N166" s="144" t="str">
        <f t="shared" si="28"/>
        <v>32</v>
      </c>
    </row>
    <row r="167" spans="1:14">
      <c r="A167" s="148" t="str">
        <f>IF(C167="","",VLOOKUP('Opći dio'!$C$3,'Opći dio'!$L$6:$U$135,10,FALSE))</f>
        <v>08006</v>
      </c>
      <c r="B167" s="148" t="str">
        <f>IF(C167="","",VLOOKUP('Opći dio'!$C$3,'Opći dio'!$L$6:$U$135,9,FALSE))</f>
        <v>Sveučilišta i veleučilišta u Republici Hrvatskoj</v>
      </c>
      <c r="C167" s="154">
        <v>561</v>
      </c>
      <c r="D167" s="149" t="str">
        <f t="shared" si="25"/>
        <v>Europski socijalni fond (ESF)</v>
      </c>
      <c r="E167" s="154">
        <v>4221</v>
      </c>
      <c r="F167" s="149" t="str">
        <f t="shared" si="24"/>
        <v>Uredska oprema i namještaj</v>
      </c>
      <c r="G167" s="201" t="s">
        <v>897</v>
      </c>
      <c r="H167" s="149" t="str">
        <f t="shared" si="26"/>
        <v>OP UČINKOVITI LJUDSKI POTENCIJALI 2014.-2020., PRIORITET 3</v>
      </c>
      <c r="I167" s="198">
        <v>42276</v>
      </c>
      <c r="J167" s="198">
        <v>0</v>
      </c>
      <c r="K167" s="198">
        <v>0</v>
      </c>
      <c r="M167" s="144" t="str">
        <f t="shared" si="27"/>
        <v>422</v>
      </c>
      <c r="N167" s="144" t="str">
        <f t="shared" si="28"/>
        <v>42</v>
      </c>
    </row>
    <row r="168" spans="1:14">
      <c r="A168" s="148" t="str">
        <f>IF(C168="","",VLOOKUP('Opći dio'!$C$3,'Opći dio'!$L$6:$U$135,10,FALSE))</f>
        <v>08006</v>
      </c>
      <c r="B168" s="148" t="str">
        <f>IF(C168="","",VLOOKUP('Opći dio'!$C$3,'Opći dio'!$L$6:$U$135,9,FALSE))</f>
        <v>Sveučilišta i veleučilišta u Republici Hrvatskoj</v>
      </c>
      <c r="C168" s="154">
        <v>561</v>
      </c>
      <c r="D168" s="149" t="str">
        <f t="shared" si="25"/>
        <v>Europski socijalni fond (ESF)</v>
      </c>
      <c r="E168" s="154">
        <v>4241</v>
      </c>
      <c r="F168" s="149" t="str">
        <f t="shared" si="24"/>
        <v>Knjige</v>
      </c>
      <c r="G168" s="201" t="s">
        <v>897</v>
      </c>
      <c r="H168" s="149" t="str">
        <f t="shared" si="26"/>
        <v>OP UČINKOVITI LJUDSKI POTENCIJALI 2014.-2020., PRIORITET 3</v>
      </c>
      <c r="I168" s="198">
        <v>18811</v>
      </c>
      <c r="J168" s="198">
        <v>0</v>
      </c>
      <c r="K168" s="198">
        <v>0</v>
      </c>
      <c r="M168" s="144" t="str">
        <f t="shared" si="27"/>
        <v>424</v>
      </c>
      <c r="N168" s="144" t="str">
        <f t="shared" si="28"/>
        <v>42</v>
      </c>
    </row>
    <row r="169" spans="1:14">
      <c r="A169" s="148" t="str">
        <f>IF(C169="","",VLOOKUP('Opći dio'!$C$3,'Opći dio'!$L$6:$U$135,10,FALSE))</f>
        <v>08006</v>
      </c>
      <c r="B169" s="148" t="str">
        <f>IF(C169="","",VLOOKUP('Opći dio'!$C$3,'Opći dio'!$L$6:$U$135,9,FALSE))</f>
        <v>Sveučilišta i veleučilišta u Republici Hrvatskoj</v>
      </c>
      <c r="C169" s="154">
        <v>561</v>
      </c>
      <c r="D169" s="149" t="str">
        <f t="shared" si="25"/>
        <v>Europski socijalni fond (ESF)</v>
      </c>
      <c r="E169" s="154">
        <v>4262</v>
      </c>
      <c r="F169" s="149" t="str">
        <f t="shared" si="24"/>
        <v>Ulaganja u računalne programe</v>
      </c>
      <c r="G169" s="201" t="s">
        <v>897</v>
      </c>
      <c r="H169" s="149" t="str">
        <f t="shared" si="26"/>
        <v>OP UČINKOVITI LJUDSKI POTENCIJALI 2014.-2020., PRIORITET 3</v>
      </c>
      <c r="I169" s="198">
        <v>17000</v>
      </c>
      <c r="J169" s="198"/>
      <c r="K169" s="198"/>
      <c r="M169" s="144" t="str">
        <f t="shared" si="27"/>
        <v>426</v>
      </c>
      <c r="N169" s="144" t="str">
        <f t="shared" si="28"/>
        <v>42</v>
      </c>
    </row>
    <row r="170" spans="1:14">
      <c r="A170" s="148" t="str">
        <f>IF(C170="","",VLOOKUP('Opći dio'!$C$3,'Opći dio'!$L$6:$U$135,10,FALSE))</f>
        <v>08006</v>
      </c>
      <c r="B170" s="148" t="str">
        <f>IF(C170="","",VLOOKUP('Opći dio'!$C$3,'Opći dio'!$L$6:$U$135,9,FALSE))</f>
        <v>Sveučilišta i veleučilišta u Republici Hrvatskoj</v>
      </c>
      <c r="C170" s="154">
        <v>12</v>
      </c>
      <c r="D170" s="149" t="str">
        <f t="shared" si="25"/>
        <v>Sredstva učešća za pomoći</v>
      </c>
      <c r="E170" s="154">
        <v>3111</v>
      </c>
      <c r="F170" s="149" t="str">
        <f t="shared" si="24"/>
        <v>Plaće za redovan rad</v>
      </c>
      <c r="G170" s="201" t="s">
        <v>897</v>
      </c>
      <c r="H170" s="149" t="str">
        <f t="shared" si="26"/>
        <v>OP UČINKOVITI LJUDSKI POTENCIJALI 2014.-2020., PRIORITET 3</v>
      </c>
      <c r="I170" s="198">
        <v>22383</v>
      </c>
      <c r="J170" s="198">
        <v>20445</v>
      </c>
      <c r="K170" s="198">
        <v>0</v>
      </c>
      <c r="M170" s="144" t="str">
        <f t="shared" si="27"/>
        <v>311</v>
      </c>
      <c r="N170" s="144" t="str">
        <f t="shared" si="28"/>
        <v>31</v>
      </c>
    </row>
    <row r="171" spans="1:14">
      <c r="A171" s="148" t="str">
        <f>IF(C171="","",VLOOKUP('Opći dio'!$C$3,'Opći dio'!$L$6:$U$135,10,FALSE))</f>
        <v>08006</v>
      </c>
      <c r="B171" s="148" t="str">
        <f>IF(C171="","",VLOOKUP('Opći dio'!$C$3,'Opći dio'!$L$6:$U$135,9,FALSE))</f>
        <v>Sveučilišta i veleučilišta u Republici Hrvatskoj</v>
      </c>
      <c r="C171" s="154">
        <v>12</v>
      </c>
      <c r="D171" s="149" t="str">
        <f t="shared" si="25"/>
        <v>Sredstva učešća za pomoći</v>
      </c>
      <c r="E171" s="154">
        <v>3132</v>
      </c>
      <c r="F171" s="149" t="str">
        <f t="shared" si="24"/>
        <v>Doprinosi za obvezno zdravstveno osiguranje</v>
      </c>
      <c r="G171" s="201" t="s">
        <v>897</v>
      </c>
      <c r="H171" s="149" t="str">
        <f t="shared" si="26"/>
        <v>OP UČINKOVITI LJUDSKI POTENCIJALI 2014.-2020., PRIORITET 3</v>
      </c>
      <c r="I171" s="198">
        <v>3693</v>
      </c>
      <c r="J171" s="198">
        <v>3373</v>
      </c>
      <c r="K171" s="198">
        <v>0</v>
      </c>
      <c r="M171" s="144" t="str">
        <f t="shared" si="27"/>
        <v>313</v>
      </c>
      <c r="N171" s="144" t="str">
        <f t="shared" si="28"/>
        <v>31</v>
      </c>
    </row>
    <row r="172" spans="1:14">
      <c r="A172" s="148" t="str">
        <f>IF(C172="","",VLOOKUP('Opći dio'!$C$3,'Opći dio'!$L$6:$U$135,10,FALSE))</f>
        <v>08006</v>
      </c>
      <c r="B172" s="148" t="str">
        <f>IF(C172="","",VLOOKUP('Opći dio'!$C$3,'Opći dio'!$L$6:$U$135,9,FALSE))</f>
        <v>Sveučilišta i veleučilišta u Republici Hrvatskoj</v>
      </c>
      <c r="C172" s="154">
        <v>12</v>
      </c>
      <c r="D172" s="149" t="str">
        <f t="shared" si="25"/>
        <v>Sredstva učešća za pomoći</v>
      </c>
      <c r="E172" s="154">
        <v>3221</v>
      </c>
      <c r="F172" s="149" t="str">
        <f t="shared" si="24"/>
        <v>Uredski materijal i ostali materijalni rashodi</v>
      </c>
      <c r="G172" s="201" t="s">
        <v>897</v>
      </c>
      <c r="H172" s="149" t="str">
        <f t="shared" si="26"/>
        <v>OP UČINKOVITI LJUDSKI POTENCIJALI 2014.-2020., PRIORITET 3</v>
      </c>
      <c r="I172" s="198">
        <v>3911</v>
      </c>
      <c r="J172" s="198">
        <v>3573</v>
      </c>
      <c r="K172" s="198">
        <v>0</v>
      </c>
      <c r="M172" s="144" t="str">
        <f t="shared" si="27"/>
        <v>322</v>
      </c>
      <c r="N172" s="144" t="str">
        <f t="shared" si="28"/>
        <v>32</v>
      </c>
    </row>
    <row r="173" spans="1:14">
      <c r="A173" s="148" t="str">
        <f>IF(C173="","",VLOOKUP('Opći dio'!$C$3,'Opći dio'!$L$6:$U$135,10,FALSE))</f>
        <v>08006</v>
      </c>
      <c r="B173" s="148" t="str">
        <f>IF(C173="","",VLOOKUP('Opći dio'!$C$3,'Opći dio'!$L$6:$U$135,9,FALSE))</f>
        <v>Sveučilišta i veleučilišta u Republici Hrvatskoj</v>
      </c>
      <c r="C173" s="154">
        <v>12</v>
      </c>
      <c r="D173" s="149" t="str">
        <f t="shared" si="25"/>
        <v>Sredstva učešća za pomoći</v>
      </c>
      <c r="E173" s="154">
        <v>3237</v>
      </c>
      <c r="F173" s="149" t="str">
        <f t="shared" si="24"/>
        <v>Intelektualne i osobne usluge</v>
      </c>
      <c r="G173" s="201" t="s">
        <v>897</v>
      </c>
      <c r="H173" s="149" t="str">
        <f t="shared" si="26"/>
        <v>OP UČINKOVITI LJUDSKI POTENCIJALI 2014.-2020., PRIORITET 3</v>
      </c>
      <c r="I173" s="198">
        <v>77032</v>
      </c>
      <c r="J173" s="198">
        <v>20994</v>
      </c>
      <c r="K173" s="198">
        <v>0</v>
      </c>
      <c r="M173" s="144" t="str">
        <f t="shared" si="27"/>
        <v>323</v>
      </c>
      <c r="N173" s="144" t="str">
        <f t="shared" si="28"/>
        <v>32</v>
      </c>
    </row>
    <row r="174" spans="1:14">
      <c r="A174" s="148" t="str">
        <f>IF(C174="","",VLOOKUP('Opći dio'!$C$3,'Opći dio'!$L$6:$U$135,10,FALSE))</f>
        <v>08006</v>
      </c>
      <c r="B174" s="148" t="str">
        <f>IF(C174="","",VLOOKUP('Opći dio'!$C$3,'Opći dio'!$L$6:$U$135,9,FALSE))</f>
        <v>Sveučilišta i veleučilišta u Republici Hrvatskoj</v>
      </c>
      <c r="C174" s="154">
        <v>12</v>
      </c>
      <c r="D174" s="149" t="str">
        <f t="shared" si="25"/>
        <v>Sredstva učešća za pomoći</v>
      </c>
      <c r="E174" s="154">
        <v>4221</v>
      </c>
      <c r="F174" s="149" t="str">
        <f t="shared" si="24"/>
        <v>Uredska oprema i namještaj</v>
      </c>
      <c r="G174" s="201" t="s">
        <v>897</v>
      </c>
      <c r="H174" s="149" t="str">
        <f t="shared" si="26"/>
        <v>OP UČINKOVITI LJUDSKI POTENCIJALI 2014.-2020., PRIORITET 3</v>
      </c>
      <c r="I174" s="198">
        <v>7460</v>
      </c>
      <c r="J174" s="198">
        <v>0</v>
      </c>
      <c r="K174" s="198">
        <v>0</v>
      </c>
      <c r="M174" s="144" t="str">
        <f t="shared" si="27"/>
        <v>422</v>
      </c>
      <c r="N174" s="144" t="str">
        <f t="shared" si="28"/>
        <v>42</v>
      </c>
    </row>
    <row r="175" spans="1:14">
      <c r="A175" s="148" t="str">
        <f>IF(C175="","",VLOOKUP('Opći dio'!$C$3,'Opći dio'!$L$6:$U$135,10,FALSE))</f>
        <v>08006</v>
      </c>
      <c r="B175" s="148" t="str">
        <f>IF(C175="","",VLOOKUP('Opći dio'!$C$3,'Opći dio'!$L$6:$U$135,9,FALSE))</f>
        <v>Sveučilišta i veleučilišta u Republici Hrvatskoj</v>
      </c>
      <c r="C175" s="154">
        <v>12</v>
      </c>
      <c r="D175" s="149" t="str">
        <f t="shared" si="25"/>
        <v>Sredstva učešća za pomoći</v>
      </c>
      <c r="E175" s="154">
        <v>4241</v>
      </c>
      <c r="F175" s="149" t="str">
        <f t="shared" si="24"/>
        <v>Knjige</v>
      </c>
      <c r="G175" s="201" t="s">
        <v>897</v>
      </c>
      <c r="H175" s="149" t="str">
        <f t="shared" si="26"/>
        <v>OP UČINKOVITI LJUDSKI POTENCIJALI 2014.-2020., PRIORITET 3</v>
      </c>
      <c r="I175" s="198">
        <v>3320</v>
      </c>
      <c r="J175" s="198">
        <v>0</v>
      </c>
      <c r="K175" s="198">
        <v>0</v>
      </c>
      <c r="M175" s="144" t="str">
        <f t="shared" si="27"/>
        <v>424</v>
      </c>
      <c r="N175" s="144" t="str">
        <f t="shared" si="28"/>
        <v>42</v>
      </c>
    </row>
    <row r="176" spans="1:14">
      <c r="A176" s="148" t="str">
        <f>IF(C176="","",VLOOKUP('Opći dio'!$C$3,'Opći dio'!$L$6:$U$135,10,FALSE))</f>
        <v>08006</v>
      </c>
      <c r="B176" s="148" t="str">
        <f>IF(C176="","",VLOOKUP('Opći dio'!$C$3,'Opći dio'!$L$6:$U$135,9,FALSE))</f>
        <v>Sveučilišta i veleučilišta u Republici Hrvatskoj</v>
      </c>
      <c r="C176" s="154">
        <v>12</v>
      </c>
      <c r="D176" s="149" t="str">
        <f t="shared" si="25"/>
        <v>Sredstva učešća za pomoći</v>
      </c>
      <c r="E176" s="154">
        <v>4262</v>
      </c>
      <c r="F176" s="149" t="str">
        <f t="shared" si="24"/>
        <v>Ulaganja u računalne programe</v>
      </c>
      <c r="G176" s="201" t="s">
        <v>897</v>
      </c>
      <c r="H176" s="149" t="str">
        <f t="shared" si="26"/>
        <v>OP UČINKOVITI LJUDSKI POTENCIJALI 2014.-2020., PRIORITET 3</v>
      </c>
      <c r="I176" s="198">
        <v>3000</v>
      </c>
      <c r="J176" s="198">
        <v>0</v>
      </c>
      <c r="K176" s="198">
        <v>0</v>
      </c>
      <c r="M176" s="144" t="str">
        <f t="shared" si="27"/>
        <v>426</v>
      </c>
      <c r="N176" s="144" t="str">
        <f t="shared" si="28"/>
        <v>42</v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L7" sqref="L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3" t="s">
        <v>290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200000</v>
      </c>
      <c r="D5" s="3"/>
      <c r="E5" s="3"/>
      <c r="F5" s="3"/>
      <c r="G5" s="3">
        <v>200000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38819040</v>
      </c>
      <c r="D6" s="15">
        <f t="shared" ref="D6:P6" si="1">+D26+D33</f>
        <v>30243226</v>
      </c>
      <c r="E6" s="15">
        <f t="shared" si="1"/>
        <v>120800</v>
      </c>
      <c r="F6" s="15">
        <f t="shared" si="1"/>
        <v>253950</v>
      </c>
      <c r="G6" s="15">
        <f t="shared" si="1"/>
        <v>3194745</v>
      </c>
      <c r="H6" s="15">
        <f t="shared" si="1"/>
        <v>1209375</v>
      </c>
      <c r="I6" s="15">
        <f t="shared" si="1"/>
        <v>2924948</v>
      </c>
      <c r="J6" s="15">
        <f t="shared" si="1"/>
        <v>0</v>
      </c>
      <c r="K6" s="15">
        <f t="shared" si="1"/>
        <v>684532</v>
      </c>
      <c r="L6" s="15">
        <f t="shared" si="1"/>
        <v>0</v>
      </c>
      <c r="M6" s="15">
        <f t="shared" si="1"/>
        <v>187464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-200000</v>
      </c>
      <c r="D7" s="115">
        <v>0</v>
      </c>
      <c r="E7" s="115"/>
      <c r="F7" s="115"/>
      <c r="G7" s="115">
        <v>-200000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38819040</v>
      </c>
      <c r="D8" s="15">
        <f>+D5+D6+D7</f>
        <v>30243226</v>
      </c>
      <c r="E8" s="15">
        <f t="shared" ref="E8:P8" si="2">+E5+E6+E7</f>
        <v>120800</v>
      </c>
      <c r="F8" s="15">
        <f t="shared" si="2"/>
        <v>253950</v>
      </c>
      <c r="G8" s="15">
        <f t="shared" si="2"/>
        <v>3194745</v>
      </c>
      <c r="H8" s="15">
        <f t="shared" si="2"/>
        <v>1209375</v>
      </c>
      <c r="I8" s="15">
        <f t="shared" si="2"/>
        <v>2924948</v>
      </c>
      <c r="J8" s="15">
        <f t="shared" si="2"/>
        <v>0</v>
      </c>
      <c r="K8" s="15">
        <f t="shared" si="2"/>
        <v>684532</v>
      </c>
      <c r="L8" s="15">
        <f t="shared" si="2"/>
        <v>0</v>
      </c>
      <c r="M8" s="15">
        <f t="shared" si="2"/>
        <v>187464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38819040</v>
      </c>
      <c r="D9" s="138">
        <f>+'PLAN RASHODA I IZDATAKA'!D3</f>
        <v>30243226</v>
      </c>
      <c r="E9" s="138">
        <f>+'PLAN RASHODA I IZDATAKA'!E3</f>
        <v>120799</v>
      </c>
      <c r="F9" s="138">
        <f>+'PLAN RASHODA I IZDATAKA'!F3</f>
        <v>253950</v>
      </c>
      <c r="G9" s="138">
        <f>+'PLAN RASHODA I IZDATAKA'!G3</f>
        <v>3194745</v>
      </c>
      <c r="H9" s="138">
        <f>+'PLAN RASHODA I IZDATAKA'!H3</f>
        <v>1209375</v>
      </c>
      <c r="I9" s="138">
        <f>+'PLAN RASHODA I IZDATAKA'!I3</f>
        <v>2924948</v>
      </c>
      <c r="J9" s="138">
        <f>+'PLAN RASHODA I IZDATAKA'!J3</f>
        <v>0</v>
      </c>
      <c r="K9" s="138">
        <f>+'PLAN RASHODA I IZDATAKA'!K3</f>
        <v>684533</v>
      </c>
      <c r="L9" s="138">
        <f>+'PLAN RASHODA I IZDATAKA'!L3</f>
        <v>0</v>
      </c>
      <c r="M9" s="138">
        <f>+'PLAN RASHODA I IZDATAKA'!M3</f>
        <v>187464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1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-1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3002557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1209375</v>
      </c>
      <c r="I12" s="204">
        <f>SUMIFS('Plan prihoda za unos u SAP'!$G$3:$G$501,'Plan prihoda za unos u SAP'!$C$3:$C$501,"=52",'Plan prihoda za unos u SAP'!$K$3:$K$501,"=632")</f>
        <v>1108650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684532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158000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158000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1658298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1658298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3194745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3194745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253950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253950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187464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187464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30364026</v>
      </c>
      <c r="D23" s="204">
        <f>SUMIFS('Plan prihoda za unos u SAP'!$G$3:$G$501,'Plan prihoda za unos u SAP'!$C$3:$C$501,"=11",'Plan prihoda za unos u SAP'!$K$3:$K$501,"=671")</f>
        <v>30243226</v>
      </c>
      <c r="E23" s="204">
        <f>SUMIFS('Plan prihoda za unos u SAP'!$G$3:$G$501,'Plan prihoda za unos u SAP'!$C$3:$C$501,"=12",'Plan prihoda za unos u SAP'!$K$3:$K$501,"=671")</f>
        <v>120800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38819040</v>
      </c>
      <c r="D26" s="4">
        <f t="shared" ref="D26:P26" si="6">SUM(D11:D25)</f>
        <v>30243226</v>
      </c>
      <c r="E26" s="4">
        <f t="shared" si="6"/>
        <v>120800</v>
      </c>
      <c r="F26" s="4">
        <f t="shared" si="6"/>
        <v>253950</v>
      </c>
      <c r="G26" s="4">
        <f t="shared" si="6"/>
        <v>3194745</v>
      </c>
      <c r="H26" s="4">
        <f t="shared" si="6"/>
        <v>1209375</v>
      </c>
      <c r="I26" s="4">
        <f t="shared" si="6"/>
        <v>2924948</v>
      </c>
      <c r="J26" s="4">
        <f t="shared" si="6"/>
        <v>0</v>
      </c>
      <c r="K26" s="4">
        <f t="shared" si="6"/>
        <v>684532</v>
      </c>
      <c r="L26" s="4">
        <f t="shared" si="6"/>
        <v>0</v>
      </c>
      <c r="M26" s="4">
        <f t="shared" si="6"/>
        <v>187464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38819040</v>
      </c>
      <c r="D37" s="72">
        <f t="shared" ref="D37:P37" si="9">+D36+D33+D26</f>
        <v>30243226</v>
      </c>
      <c r="E37" s="72">
        <f t="shared" si="9"/>
        <v>120800</v>
      </c>
      <c r="F37" s="72">
        <f t="shared" si="9"/>
        <v>253950</v>
      </c>
      <c r="G37" s="72">
        <f t="shared" si="9"/>
        <v>3194745</v>
      </c>
      <c r="H37" s="72">
        <f t="shared" si="9"/>
        <v>1209375</v>
      </c>
      <c r="I37" s="72">
        <f t="shared" si="9"/>
        <v>2924948</v>
      </c>
      <c r="J37" s="72">
        <f t="shared" si="9"/>
        <v>0</v>
      </c>
      <c r="K37" s="72">
        <f t="shared" si="9"/>
        <v>684532</v>
      </c>
      <c r="L37" s="72">
        <f t="shared" si="9"/>
        <v>0</v>
      </c>
      <c r="M37" s="72">
        <f t="shared" si="9"/>
        <v>187464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200000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200000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39765909</v>
      </c>
      <c r="D42" s="15">
        <f t="shared" ref="D42:P42" si="12">+D62+D69</f>
        <v>31654236</v>
      </c>
      <c r="E42" s="15">
        <f t="shared" si="12"/>
        <v>48386</v>
      </c>
      <c r="F42" s="15">
        <f t="shared" si="12"/>
        <v>253950</v>
      </c>
      <c r="G42" s="15">
        <f t="shared" si="12"/>
        <v>3194745</v>
      </c>
      <c r="H42" s="15">
        <f t="shared" si="12"/>
        <v>1209375</v>
      </c>
      <c r="I42" s="15">
        <f t="shared" si="12"/>
        <v>2943569</v>
      </c>
      <c r="J42" s="15">
        <f t="shared" si="12"/>
        <v>0</v>
      </c>
      <c r="K42" s="15">
        <f t="shared" si="12"/>
        <v>274184</v>
      </c>
      <c r="L42" s="15">
        <f t="shared" si="12"/>
        <v>0</v>
      </c>
      <c r="M42" s="15">
        <f t="shared" si="12"/>
        <v>187464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39965909</v>
      </c>
      <c r="D44" s="15">
        <f>+D41+D42+D43</f>
        <v>31654236</v>
      </c>
      <c r="E44" s="15">
        <f t="shared" ref="E44:P44" si="13">+E41+E42+E43</f>
        <v>48386</v>
      </c>
      <c r="F44" s="15">
        <f t="shared" si="13"/>
        <v>253950</v>
      </c>
      <c r="G44" s="15">
        <f t="shared" si="13"/>
        <v>3394745</v>
      </c>
      <c r="H44" s="15">
        <f t="shared" si="13"/>
        <v>1209375</v>
      </c>
      <c r="I44" s="15">
        <f t="shared" si="13"/>
        <v>2943569</v>
      </c>
      <c r="J44" s="15">
        <f t="shared" si="13"/>
        <v>0</v>
      </c>
      <c r="K44" s="15">
        <f t="shared" si="13"/>
        <v>274184</v>
      </c>
      <c r="L44" s="15">
        <f t="shared" si="13"/>
        <v>0</v>
      </c>
      <c r="M44" s="15">
        <f t="shared" si="13"/>
        <v>187464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39965909</v>
      </c>
      <c r="D45" s="138">
        <f>+'PLAN RASHODA I IZDATAKA'!D71</f>
        <v>31654236</v>
      </c>
      <c r="E45" s="138">
        <f>+'PLAN RASHODA I IZDATAKA'!E71</f>
        <v>48385</v>
      </c>
      <c r="F45" s="138">
        <f>+'PLAN RASHODA I IZDATAKA'!F71</f>
        <v>253950</v>
      </c>
      <c r="G45" s="138">
        <f>+'PLAN RASHODA I IZDATAKA'!G71</f>
        <v>3394745</v>
      </c>
      <c r="H45" s="138">
        <f>+'PLAN RASHODA I IZDATAKA'!H71</f>
        <v>1209375</v>
      </c>
      <c r="I45" s="138">
        <f>+'PLAN RASHODA I IZDATAKA'!I71</f>
        <v>2943569</v>
      </c>
      <c r="J45" s="138">
        <f>+'PLAN RASHODA I IZDATAKA'!J71</f>
        <v>0</v>
      </c>
      <c r="K45" s="138">
        <f>+'PLAN RASHODA I IZDATAKA'!K71</f>
        <v>274185</v>
      </c>
      <c r="L45" s="138">
        <f>+'PLAN RASHODA I IZDATAKA'!L71</f>
        <v>0</v>
      </c>
      <c r="M45" s="138">
        <f>+'PLAN RASHODA I IZDATAKA'!M71</f>
        <v>187464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1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-1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3146526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1209375</v>
      </c>
      <c r="I48" s="204">
        <f>SUMIFS('Plan prihoda za unos u SAP'!$H$3:$H$501,'Plan prihoda za unos u SAP'!$C$3:$C$501,"=52",'Plan prihoda za unos u SAP'!$K$3:$K$501,"=632")</f>
        <v>1662967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274184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158000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158000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1122602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1122602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3194745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3194745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253950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253950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187464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187464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31702622</v>
      </c>
      <c r="D59" s="204">
        <f>SUMIFS('Plan prihoda za unos u SAP'!$H$3:$H$501,'Plan prihoda za unos u SAP'!$C$3:$C$501,"=11",'Plan prihoda za unos u SAP'!$K$3:$K$501,"=671")</f>
        <v>31654236</v>
      </c>
      <c r="E59" s="204">
        <f>SUMIFS('Plan prihoda za unos u SAP'!$H$3:$H$501,'Plan prihoda za unos u SAP'!$C$3:$C$501,"=12",'Plan prihoda za unos u SAP'!$K$3:$K$501,"=671")</f>
        <v>48386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39765909</v>
      </c>
      <c r="D62" s="4">
        <f t="shared" ref="D62:P62" si="17">SUM(D47:D61)</f>
        <v>31654236</v>
      </c>
      <c r="E62" s="4">
        <f t="shared" si="17"/>
        <v>48386</v>
      </c>
      <c r="F62" s="4">
        <f t="shared" si="17"/>
        <v>253950</v>
      </c>
      <c r="G62" s="4">
        <f t="shared" si="17"/>
        <v>3194745</v>
      </c>
      <c r="H62" s="4">
        <f t="shared" si="17"/>
        <v>1209375</v>
      </c>
      <c r="I62" s="4">
        <f t="shared" si="17"/>
        <v>2943569</v>
      </c>
      <c r="J62" s="4">
        <f t="shared" si="17"/>
        <v>0</v>
      </c>
      <c r="K62" s="4">
        <f t="shared" si="17"/>
        <v>274184</v>
      </c>
      <c r="L62" s="4">
        <f t="shared" si="17"/>
        <v>0</v>
      </c>
      <c r="M62" s="4">
        <f t="shared" si="17"/>
        <v>187464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39765909</v>
      </c>
      <c r="D73" s="72">
        <f t="shared" ref="D73:P73" si="20">+D72+D69+D62</f>
        <v>31654236</v>
      </c>
      <c r="E73" s="72">
        <f t="shared" si="20"/>
        <v>48386</v>
      </c>
      <c r="F73" s="72">
        <f t="shared" si="20"/>
        <v>253950</v>
      </c>
      <c r="G73" s="72">
        <f t="shared" si="20"/>
        <v>3194745</v>
      </c>
      <c r="H73" s="72">
        <f t="shared" si="20"/>
        <v>1209375</v>
      </c>
      <c r="I73" s="72">
        <f t="shared" si="20"/>
        <v>2943569</v>
      </c>
      <c r="J73" s="72">
        <f t="shared" si="20"/>
        <v>0</v>
      </c>
      <c r="K73" s="72">
        <f t="shared" si="20"/>
        <v>274184</v>
      </c>
      <c r="L73" s="72">
        <f t="shared" si="20"/>
        <v>0</v>
      </c>
      <c r="M73" s="72">
        <f t="shared" si="20"/>
        <v>187464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39730537</v>
      </c>
      <c r="D78" s="15">
        <f t="shared" ref="D78:P78" si="23">+D98+D105</f>
        <v>32077416</v>
      </c>
      <c r="E78" s="15">
        <f t="shared" si="23"/>
        <v>0</v>
      </c>
      <c r="F78" s="15">
        <f t="shared" si="23"/>
        <v>253950</v>
      </c>
      <c r="G78" s="15">
        <f t="shared" si="23"/>
        <v>3194745</v>
      </c>
      <c r="H78" s="15">
        <f t="shared" si="23"/>
        <v>1209375</v>
      </c>
      <c r="I78" s="15">
        <f t="shared" si="23"/>
        <v>2807587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187464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39730537</v>
      </c>
      <c r="D80" s="15">
        <f>+D77+D78+D79</f>
        <v>32077416</v>
      </c>
      <c r="E80" s="15">
        <f t="shared" ref="E80:P80" si="24">+E77+E78+E79</f>
        <v>0</v>
      </c>
      <c r="F80" s="15">
        <f t="shared" si="24"/>
        <v>253950</v>
      </c>
      <c r="G80" s="15">
        <f t="shared" si="24"/>
        <v>3194745</v>
      </c>
      <c r="H80" s="15">
        <f t="shared" si="24"/>
        <v>1209375</v>
      </c>
      <c r="I80" s="15">
        <f t="shared" si="24"/>
        <v>2807587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187464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39730537</v>
      </c>
      <c r="D81" s="138">
        <f>+'PLAN RASHODA I IZDATAKA'!D91</f>
        <v>32077416</v>
      </c>
      <c r="E81" s="138">
        <f>+'PLAN RASHODA I IZDATAKA'!E91</f>
        <v>0</v>
      </c>
      <c r="F81" s="138">
        <f>+'PLAN RASHODA I IZDATAKA'!F91</f>
        <v>253950</v>
      </c>
      <c r="G81" s="138">
        <f>+'PLAN RASHODA I IZDATAKA'!G91</f>
        <v>3194745</v>
      </c>
      <c r="H81" s="138">
        <f>+'PLAN RASHODA I IZDATAKA'!H91</f>
        <v>1209375</v>
      </c>
      <c r="I81" s="138">
        <f>+'PLAN RASHODA I IZDATAKA'!I91</f>
        <v>2807587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187464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2872338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1209375</v>
      </c>
      <c r="I84" s="204">
        <f>SUMIFS('Plan prihoda za unos u SAP'!$I$3:$I$501,'Plan prihoda za unos u SAP'!$C$3:$C$501,"=52",'Plan prihoda za unos u SAP'!$K$3:$K$501,"=632")</f>
        <v>1662963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158000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158000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986624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986624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3194745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3194745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253950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253950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187464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187464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32077416</v>
      </c>
      <c r="D95" s="204">
        <f>SUMIFS('Plan prihoda za unos u SAP'!$I$3:$I$501,'Plan prihoda za unos u SAP'!$C$3:$C$501,"=11",'Plan prihoda za unos u SAP'!$K$3:$K$501,"=671")</f>
        <v>32077416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39730537</v>
      </c>
      <c r="D98" s="4">
        <f t="shared" ref="D98:P98" si="28">SUM(D83:D97)</f>
        <v>32077416</v>
      </c>
      <c r="E98" s="4">
        <f t="shared" si="28"/>
        <v>0</v>
      </c>
      <c r="F98" s="4">
        <f t="shared" si="28"/>
        <v>253950</v>
      </c>
      <c r="G98" s="4">
        <f t="shared" si="28"/>
        <v>3194745</v>
      </c>
      <c r="H98" s="4">
        <f t="shared" si="28"/>
        <v>1209375</v>
      </c>
      <c r="I98" s="4">
        <f t="shared" si="28"/>
        <v>2807587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187464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39730537</v>
      </c>
      <c r="D109" s="72">
        <f t="shared" ref="D109:P109" si="31">+D108+D105+D98</f>
        <v>32077416</v>
      </c>
      <c r="E109" s="72">
        <f t="shared" si="31"/>
        <v>0</v>
      </c>
      <c r="F109" s="72">
        <f t="shared" si="31"/>
        <v>253950</v>
      </c>
      <c r="G109" s="72">
        <f t="shared" si="31"/>
        <v>3194745</v>
      </c>
      <c r="H109" s="72">
        <f t="shared" si="31"/>
        <v>1209375</v>
      </c>
      <c r="I109" s="72">
        <f t="shared" si="31"/>
        <v>2807587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187464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38819040</v>
      </c>
      <c r="D3" s="123">
        <f t="shared" ref="D3:P3" si="0">D4+D38+D58</f>
        <v>30243226</v>
      </c>
      <c r="E3" s="123">
        <f t="shared" si="0"/>
        <v>120799</v>
      </c>
      <c r="F3" s="123">
        <f t="shared" si="0"/>
        <v>253950</v>
      </c>
      <c r="G3" s="123">
        <f t="shared" si="0"/>
        <v>3194745</v>
      </c>
      <c r="H3" s="123">
        <f t="shared" si="0"/>
        <v>1209375</v>
      </c>
      <c r="I3" s="123">
        <f t="shared" si="0"/>
        <v>2924948</v>
      </c>
      <c r="J3" s="123">
        <f t="shared" si="0"/>
        <v>0</v>
      </c>
      <c r="K3" s="123">
        <f t="shared" si="0"/>
        <v>684533</v>
      </c>
      <c r="L3" s="123">
        <f t="shared" si="0"/>
        <v>0</v>
      </c>
      <c r="M3" s="123">
        <f t="shared" si="0"/>
        <v>187464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37096916</v>
      </c>
      <c r="D4" s="127">
        <f>D5+D9+D15+D19+D23+D30+D33</f>
        <v>30243226</v>
      </c>
      <c r="E4" s="127">
        <f t="shared" ref="E4:P4" si="1">E5+E9+E15+E19+E23+E30+E33</f>
        <v>107019</v>
      </c>
      <c r="F4" s="127">
        <f t="shared" si="1"/>
        <v>183950</v>
      </c>
      <c r="G4" s="127">
        <f t="shared" si="1"/>
        <v>2216395</v>
      </c>
      <c r="H4" s="127">
        <f t="shared" si="1"/>
        <v>933000</v>
      </c>
      <c r="I4" s="127">
        <f t="shared" si="1"/>
        <v>2640416</v>
      </c>
      <c r="J4" s="127">
        <f t="shared" si="1"/>
        <v>0</v>
      </c>
      <c r="K4" s="127">
        <f t="shared" si="1"/>
        <v>606446</v>
      </c>
      <c r="L4" s="127">
        <f t="shared" si="1"/>
        <v>0</v>
      </c>
      <c r="M4" s="127">
        <f t="shared" si="1"/>
        <v>166464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29635665</v>
      </c>
      <c r="D5" s="13">
        <f>SUM(D6:D8)</f>
        <v>27124685</v>
      </c>
      <c r="E5" s="13">
        <f t="shared" ref="E5:P5" si="3">SUM(E6:E8)</f>
        <v>26076</v>
      </c>
      <c r="F5" s="13">
        <f t="shared" si="3"/>
        <v>109850</v>
      </c>
      <c r="G5" s="13">
        <f t="shared" si="3"/>
        <v>756795</v>
      </c>
      <c r="H5" s="13">
        <f t="shared" si="3"/>
        <v>666000</v>
      </c>
      <c r="I5" s="13">
        <f t="shared" si="3"/>
        <v>677029</v>
      </c>
      <c r="J5" s="13">
        <f t="shared" si="3"/>
        <v>0</v>
      </c>
      <c r="K5" s="13">
        <f t="shared" si="3"/>
        <v>147766</v>
      </c>
      <c r="L5" s="13">
        <f t="shared" si="3"/>
        <v>0</v>
      </c>
      <c r="M5" s="13">
        <f t="shared" si="3"/>
        <v>127464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24811281</v>
      </c>
      <c r="D6" s="143">
        <f>SUMIFS('Plan rashoda za unos u SAP'!$I$3:$I$501,'Plan rashoda za unos u SAP'!$C$3:$C$501,"=11",'Plan rashoda za unos u SAP'!$M$3:$M$501,"=311")</f>
        <v>22703286</v>
      </c>
      <c r="E6" s="143">
        <f>SUMIFS('Plan rashoda za unos u SAP'!$I$3:$I$501,'Plan rashoda za unos u SAP'!$C$3:$C$501,"=12",'Plan rashoda za unos u SAP'!$M$3:$M$501,"=311")</f>
        <v>22383</v>
      </c>
      <c r="F6" s="143">
        <f>SUMIFS('Plan rashoda za unos u SAP'!$I$3:$I$501,'Plan rashoda za unos u SAP'!$C$3:$C$501,"=31",'Plan rashoda za unos u SAP'!$M$3:$M$501,"=311")</f>
        <v>90000</v>
      </c>
      <c r="G6" s="143">
        <f>SUMIFS('Plan rashoda za unos u SAP'!$I$3:$I$501,'Plan rashoda za unos u SAP'!$C$3:$C$501,"=43",'Plan rashoda za unos u SAP'!$M$3:$M$501,"=311")</f>
        <v>628150</v>
      </c>
      <c r="H6" s="143">
        <f>SUMIFS('Plan rashoda za unos u SAP'!$I$3:$I$501,'Plan rashoda za unos u SAP'!$C$3:$C$501,"=51",'Plan rashoda za unos u SAP'!$M$3:$M$501,"=311")</f>
        <v>566524</v>
      </c>
      <c r="I6" s="143">
        <f>SUMIFS('Plan rashoda za unos u SAP'!$I$3:$I$501,'Plan rashoda za unos u SAP'!$C$3:$C$501,"=52",'Plan rashoda za unos u SAP'!$M$3:$M$501,"=311")</f>
        <v>563972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126838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110128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731267</v>
      </c>
      <c r="D7" s="143">
        <f>SUMIFS('Plan rashoda za unos u SAP'!$I$3:$I$501,'Plan rashoda za unos u SAP'!$C$3:$C$501,"=11",'Plan rashoda za unos u SAP'!$M$3:$M$501,"=312")</f>
        <v>675267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5000</v>
      </c>
      <c r="G7" s="143">
        <f>SUMIFS('Plan rashoda za unos u SAP'!$I$3:$I$501,'Plan rashoda za unos u SAP'!$C$3:$C$501,"=43",'Plan rashoda za unos u SAP'!$M$3:$M$501,"=312")</f>
        <v>25000</v>
      </c>
      <c r="H7" s="143">
        <f>SUMIFS('Plan rashoda za unos u SAP'!$I$3:$I$501,'Plan rashoda za unos u SAP'!$C$3:$C$501,"=51",'Plan rashoda za unos u SAP'!$M$3:$M$501,"=312")</f>
        <v>6000</v>
      </c>
      <c r="I7" s="143">
        <f>SUMIFS('Plan rashoda za unos u SAP'!$I$3:$I$501,'Plan rashoda za unos u SAP'!$C$3:$C$501,"=52",'Plan rashoda za unos u SAP'!$M$3:$M$501,"=312")</f>
        <v>20000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4093117</v>
      </c>
      <c r="D8" s="143">
        <f>SUMIFS('Plan rashoda za unos u SAP'!$I$3:$I$501,'Plan rashoda za unos u SAP'!$C$3:$C$501,"=11",'Plan rashoda za unos u SAP'!$M$3:$M$501,"=313")</f>
        <v>3746132</v>
      </c>
      <c r="E8" s="143">
        <f>SUMIFS('Plan rashoda za unos u SAP'!$I$3:$I$501,'Plan rashoda za unos u SAP'!$C$3:$C$501,"=12",'Plan rashoda za unos u SAP'!$M$3:$M$501,"=313")</f>
        <v>3693</v>
      </c>
      <c r="F8" s="143">
        <f>SUMIFS('Plan rashoda za unos u SAP'!$I$3:$I$501,'Plan rashoda za unos u SAP'!$C$3:$C$501,"=31",'Plan rashoda za unos u SAP'!$M$3:$M$501,"=313")</f>
        <v>14850</v>
      </c>
      <c r="G8" s="143">
        <f>SUMIFS('Plan rashoda za unos u SAP'!$I$3:$I$501,'Plan rashoda za unos u SAP'!$C$3:$C$501,"=43",'Plan rashoda za unos u SAP'!$M$3:$M$501,"=313")</f>
        <v>103645</v>
      </c>
      <c r="H8" s="143">
        <f>SUMIFS('Plan rashoda za unos u SAP'!$I$3:$I$501,'Plan rashoda za unos u SAP'!$C$3:$C$501,"=51",'Plan rashoda za unos u SAP'!$M$3:$M$501,"=313")</f>
        <v>93476</v>
      </c>
      <c r="I8" s="143">
        <f>SUMIFS('Plan rashoda za unos u SAP'!$I$3:$I$501,'Plan rashoda za unos u SAP'!$C$3:$C$501,"=52",'Plan rashoda za unos u SAP'!$M$3:$M$501,"=313")</f>
        <v>93057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20928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17336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7347951</v>
      </c>
      <c r="D9" s="79">
        <f t="shared" ref="D9:P9" si="4">SUM(D10:D14)</f>
        <v>3058441</v>
      </c>
      <c r="E9" s="79">
        <f t="shared" si="4"/>
        <v>80943</v>
      </c>
      <c r="F9" s="79">
        <f t="shared" si="4"/>
        <v>73500</v>
      </c>
      <c r="G9" s="79">
        <f t="shared" si="4"/>
        <v>1407000</v>
      </c>
      <c r="H9" s="79">
        <f t="shared" si="4"/>
        <v>267000</v>
      </c>
      <c r="I9" s="79">
        <f t="shared" si="4"/>
        <v>1963387</v>
      </c>
      <c r="J9" s="79">
        <f t="shared" si="4"/>
        <v>0</v>
      </c>
      <c r="K9" s="79">
        <f t="shared" si="4"/>
        <v>458680</v>
      </c>
      <c r="L9" s="79">
        <f t="shared" si="4"/>
        <v>0</v>
      </c>
      <c r="M9" s="79">
        <f t="shared" si="4"/>
        <v>39000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1695169</v>
      </c>
      <c r="D10" s="143">
        <f>SUMIFS('Plan rashoda za unos u SAP'!$I$3:$I$501,'Plan rashoda za unos u SAP'!$C$3:$C$501,"=11",'Plan rashoda za unos u SAP'!$M$3:$M$501,"=321")</f>
        <v>693849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10000</v>
      </c>
      <c r="G10" s="143">
        <f>SUMIFS('Plan rashoda za unos u SAP'!$I$3:$I$501,'Plan rashoda za unos u SAP'!$C$3:$C$501,"=43",'Plan rashoda za unos u SAP'!$M$3:$M$501,"=321")</f>
        <v>309000</v>
      </c>
      <c r="H10" s="143">
        <f>SUMIFS('Plan rashoda za unos u SAP'!$I$3:$I$501,'Plan rashoda za unos u SAP'!$C$3:$C$501,"=51",'Plan rashoda za unos u SAP'!$M$3:$M$501,"=321")</f>
        <v>111000</v>
      </c>
      <c r="I10" s="143">
        <f>SUMIFS('Plan rashoda za unos u SAP'!$I$3:$I$501,'Plan rashoda za unos u SAP'!$C$3:$C$501,"=52",'Plan rashoda za unos u SAP'!$M$3:$M$501,"=321")</f>
        <v>561320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10000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1612430</v>
      </c>
      <c r="D11" s="143">
        <f>SUMIFS('Plan rashoda za unos u SAP'!$I$3:$I$501,'Plan rashoda za unos u SAP'!$C$3:$C$501,"=11",'Plan rashoda za unos u SAP'!$M$3:$M$501,"=322")</f>
        <v>908354</v>
      </c>
      <c r="E11" s="143">
        <f>SUMIFS('Plan rashoda za unos u SAP'!$I$3:$I$501,'Plan rashoda za unos u SAP'!$C$3:$C$501,"=12",'Plan rashoda za unos u SAP'!$M$3:$M$501,"=322")</f>
        <v>3911</v>
      </c>
      <c r="F11" s="143">
        <f>SUMIFS('Plan rashoda za unos u SAP'!$I$3:$I$501,'Plan rashoda za unos u SAP'!$C$3:$C$501,"=31",'Plan rashoda za unos u SAP'!$M$3:$M$501,"=322")</f>
        <v>31000</v>
      </c>
      <c r="G11" s="143">
        <f>SUMIFS('Plan rashoda za unos u SAP'!$I$3:$I$501,'Plan rashoda za unos u SAP'!$C$3:$C$501,"=43",'Plan rashoda za unos u SAP'!$M$3:$M$501,"=322")</f>
        <v>339000</v>
      </c>
      <c r="H11" s="143">
        <f>SUMIFS('Plan rashoda za unos u SAP'!$I$3:$I$501,'Plan rashoda za unos u SAP'!$C$3:$C$501,"=51",'Plan rashoda za unos u SAP'!$M$3:$M$501,"=322")</f>
        <v>66000</v>
      </c>
      <c r="I11" s="143">
        <f>SUMIFS('Plan rashoda za unos u SAP'!$I$3:$I$501,'Plan rashoda za unos u SAP'!$C$3:$C$501,"=52",'Plan rashoda za unos u SAP'!$M$3:$M$501,"=322")</f>
        <v>222000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22165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20000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3252781</v>
      </c>
      <c r="D12" s="143">
        <f>SUMIFS('Plan rashoda za unos u SAP'!$I$3:$I$501,'Plan rashoda za unos u SAP'!$C$3:$C$501,"=11",'Plan rashoda za unos u SAP'!$M$3:$M$501,"=323")</f>
        <v>1302738</v>
      </c>
      <c r="E12" s="143">
        <f>SUMIFS('Plan rashoda za unos u SAP'!$I$3:$I$501,'Plan rashoda za unos u SAP'!$C$3:$C$501,"=12",'Plan rashoda za unos u SAP'!$M$3:$M$501,"=323")</f>
        <v>77032</v>
      </c>
      <c r="F12" s="143">
        <f>SUMIFS('Plan rashoda za unos u SAP'!$I$3:$I$501,'Plan rashoda za unos u SAP'!$C$3:$C$501,"=31",'Plan rashoda za unos u SAP'!$M$3:$M$501,"=323")</f>
        <v>19500</v>
      </c>
      <c r="G12" s="143">
        <f>SUMIFS('Plan rashoda za unos u SAP'!$I$3:$I$501,'Plan rashoda za unos u SAP'!$C$3:$C$501,"=43",'Plan rashoda za unos u SAP'!$M$3:$M$501,"=323")</f>
        <v>259000</v>
      </c>
      <c r="H12" s="143">
        <f>SUMIFS('Plan rashoda za unos u SAP'!$I$3:$I$501,'Plan rashoda za unos u SAP'!$C$3:$C$501,"=51",'Plan rashoda za unos u SAP'!$M$3:$M$501,"=323")</f>
        <v>90000</v>
      </c>
      <c r="I12" s="143">
        <f>SUMIFS('Plan rashoda za unos u SAP'!$I$3:$I$501,'Plan rashoda za unos u SAP'!$C$3:$C$501,"=52",'Plan rashoda za unos u SAP'!$M$3:$M$501,"=323")</f>
        <v>1061996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436515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6000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144500</v>
      </c>
      <c r="D13" s="143">
        <f>SUMIFS('Plan rashoda za unos u SAP'!$I$3:$I$501,'Plan rashoda za unos u SAP'!$C$3:$C$501,"=11",'Plan rashoda za unos u SAP'!$M$3:$M$501,"=324")</f>
        <v>40000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2500</v>
      </c>
      <c r="G13" s="143">
        <f>SUMIFS('Plan rashoda za unos u SAP'!$I$3:$I$501,'Plan rashoda za unos u SAP'!$C$3:$C$501,"=43",'Plan rashoda za unos u SAP'!$M$3:$M$501,"=324")</f>
        <v>25000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77000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643071</v>
      </c>
      <c r="D14" s="143">
        <f>SUMIFS('Plan rashoda za unos u SAP'!$I$3:$I$501,'Plan rashoda za unos u SAP'!$C$3:$C$501,"=11",'Plan rashoda za unos u SAP'!$M$3:$M$501,"=329")</f>
        <v>113500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10500</v>
      </c>
      <c r="G14" s="143">
        <f>SUMIFS('Plan rashoda za unos u SAP'!$I$3:$I$501,'Plan rashoda za unos u SAP'!$C$3:$C$501,"=43",'Plan rashoda za unos u SAP'!$M$3:$M$501,"=329")</f>
        <v>475000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41071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3000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18300</v>
      </c>
      <c r="D15" s="4">
        <f t="shared" ref="D15:P15" si="5">SUM(D16:D18)</f>
        <v>14100</v>
      </c>
      <c r="E15" s="4">
        <f t="shared" si="5"/>
        <v>0</v>
      </c>
      <c r="F15" s="4">
        <f t="shared" si="5"/>
        <v>600</v>
      </c>
      <c r="G15" s="4">
        <f t="shared" si="5"/>
        <v>3600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18300</v>
      </c>
      <c r="D18" s="143">
        <f>SUMIFS('Plan rashoda za unos u SAP'!$I$3:$I$501,'Plan rashoda za unos u SAP'!$C$3:$C$501,"=11",'Plan rashoda za unos u SAP'!$M$3:$M$501,"=343")</f>
        <v>14100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600</v>
      </c>
      <c r="G18" s="143">
        <f>SUMIFS('Plan rashoda za unos u SAP'!$I$3:$I$501,'Plan rashoda za unos u SAP'!$C$3:$C$501,"=43",'Plan rashoda za unos u SAP'!$M$3:$M$501,"=343")</f>
        <v>3600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91000</v>
      </c>
      <c r="D30" s="4">
        <f t="shared" ref="D30:P30" si="8">SUM(D31:D32)</f>
        <v>44000</v>
      </c>
      <c r="E30" s="4">
        <f t="shared" si="8"/>
        <v>0</v>
      </c>
      <c r="F30" s="4">
        <f t="shared" si="8"/>
        <v>0</v>
      </c>
      <c r="G30" s="4">
        <f t="shared" si="8"/>
        <v>47000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91000</v>
      </c>
      <c r="D32" s="143">
        <f>SUMIFS('Plan rashoda za unos u SAP'!$I$3:$I$501,'Plan rashoda za unos u SAP'!$C$3:$C$501,"=11",'Plan rashoda za unos u SAP'!$M$3:$M$501,"=372")</f>
        <v>44000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47000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4000</v>
      </c>
      <c r="D33" s="4">
        <f t="shared" ref="D33:P33" si="9">SUM(D34:D37)</f>
        <v>2000</v>
      </c>
      <c r="E33" s="4">
        <f t="shared" si="9"/>
        <v>0</v>
      </c>
      <c r="F33" s="4">
        <f t="shared" si="9"/>
        <v>0</v>
      </c>
      <c r="G33" s="4">
        <f t="shared" si="9"/>
        <v>2000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4000</v>
      </c>
      <c r="D34" s="143">
        <f>SUMIFS('Plan rashoda za unos u SAP'!$I$3:$I$501,'Plan rashoda za unos u SAP'!$C$3:$C$501,"=11",'Plan rashoda za unos u SAP'!$M$3:$M$501,"=381")</f>
        <v>2000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2000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1722124</v>
      </c>
      <c r="D38" s="128">
        <f>D42+D49+D51+D53+D39</f>
        <v>0</v>
      </c>
      <c r="E38" s="128">
        <f t="shared" ref="E38:P38" si="10">E42+E49+E51+E53+E39</f>
        <v>13780</v>
      </c>
      <c r="F38" s="128">
        <f t="shared" si="10"/>
        <v>70000</v>
      </c>
      <c r="G38" s="128">
        <f t="shared" si="10"/>
        <v>978350</v>
      </c>
      <c r="H38" s="128">
        <f t="shared" si="10"/>
        <v>276375</v>
      </c>
      <c r="I38" s="128">
        <f t="shared" si="10"/>
        <v>284532</v>
      </c>
      <c r="J38" s="128">
        <f t="shared" si="10"/>
        <v>0</v>
      </c>
      <c r="K38" s="128">
        <f t="shared" si="10"/>
        <v>78087</v>
      </c>
      <c r="L38" s="128">
        <f t="shared" si="10"/>
        <v>0</v>
      </c>
      <c r="M38" s="128">
        <f t="shared" si="10"/>
        <v>21000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151500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1500</v>
      </c>
      <c r="G39" s="13">
        <f t="shared" si="11"/>
        <v>150000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151500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1500</v>
      </c>
      <c r="G41" s="143">
        <f>SUMIFS('Plan rashoda za unos u SAP'!$I$3:$I$501,'Plan rashoda za unos u SAP'!$C$3:$C$501,"=43",'Plan rashoda za unos u SAP'!$M$3:$M$501,"=412")</f>
        <v>150000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1570624</v>
      </c>
      <c r="D42" s="4">
        <f t="shared" ref="D42:P42" si="12">SUM(D43:D48)</f>
        <v>0</v>
      </c>
      <c r="E42" s="4">
        <f t="shared" si="12"/>
        <v>13780</v>
      </c>
      <c r="F42" s="4">
        <f t="shared" si="12"/>
        <v>68500</v>
      </c>
      <c r="G42" s="4">
        <f t="shared" si="12"/>
        <v>828350</v>
      </c>
      <c r="H42" s="4">
        <f t="shared" si="12"/>
        <v>276375</v>
      </c>
      <c r="I42" s="4">
        <f t="shared" si="12"/>
        <v>284532</v>
      </c>
      <c r="J42" s="4">
        <f t="shared" si="12"/>
        <v>0</v>
      </c>
      <c r="K42" s="4">
        <f t="shared" si="12"/>
        <v>78087</v>
      </c>
      <c r="L42" s="4">
        <f t="shared" si="12"/>
        <v>0</v>
      </c>
      <c r="M42" s="4">
        <f t="shared" si="12"/>
        <v>21000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1419211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7460</v>
      </c>
      <c r="F44" s="143">
        <f>SUMIFS('Plan rashoda za unos u SAP'!$I$3:$I$501,'Plan rashoda za unos u SAP'!$C$3:$C$501,"=31",'Plan rashoda za unos u SAP'!$M$3:$M$501,"=422")</f>
        <v>60500</v>
      </c>
      <c r="G44" s="143">
        <f>SUMIFS('Plan rashoda za unos u SAP'!$I$3:$I$501,'Plan rashoda za unos u SAP'!$C$3:$C$501,"=43",'Plan rashoda za unos u SAP'!$M$3:$M$501,"=422")</f>
        <v>743350</v>
      </c>
      <c r="H44" s="143">
        <f>SUMIFS('Plan rashoda za unos u SAP'!$I$3:$I$501,'Plan rashoda za unos u SAP'!$C$3:$C$501,"=51",'Plan rashoda za unos u SAP'!$M$3:$M$501,"=422")</f>
        <v>276375</v>
      </c>
      <c r="I44" s="143">
        <f>SUMIFS('Plan rashoda za unos u SAP'!$I$3:$I$501,'Plan rashoda za unos u SAP'!$C$3:$C$501,"=52",'Plan rashoda za unos u SAP'!$M$3:$M$501,"=422")</f>
        <v>268250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42276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21000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50413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3320</v>
      </c>
      <c r="F46" s="143">
        <f>SUMIFS('Plan rashoda za unos u SAP'!$I$3:$I$501,'Plan rashoda za unos u SAP'!$C$3:$C$501,"=31",'Plan rashoda za unos u SAP'!$M$3:$M$501,"=424")</f>
        <v>3000</v>
      </c>
      <c r="G46" s="143">
        <f>SUMIFS('Plan rashoda za unos u SAP'!$I$3:$I$501,'Plan rashoda za unos u SAP'!$C$3:$C$501,"=43",'Plan rashoda za unos u SAP'!$M$3:$M$501,"=424")</f>
        <v>20000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5282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18811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101000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3000</v>
      </c>
      <c r="F48" s="143">
        <f>SUMIFS('Plan rashoda za unos u SAP'!$I$3:$I$501,'Plan rashoda za unos u SAP'!$C$3:$C$501,"=31",'Plan rashoda za unos u SAP'!$M$3:$M$501,"=426")</f>
        <v>5000</v>
      </c>
      <c r="G48" s="143">
        <f>SUMIFS('Plan rashoda za unos u SAP'!$I$3:$I$501,'Plan rashoda za unos u SAP'!$C$3:$C$501,"=43",'Plan rashoda za unos u SAP'!$M$3:$M$501,"=426")</f>
        <v>65000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11000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17000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39965909</v>
      </c>
      <c r="D71" s="123">
        <f t="shared" ref="D71:P71" si="21">+D72+D80+D86</f>
        <v>31654236</v>
      </c>
      <c r="E71" s="123">
        <f t="shared" si="21"/>
        <v>48385</v>
      </c>
      <c r="F71" s="123">
        <f t="shared" si="21"/>
        <v>253950</v>
      </c>
      <c r="G71" s="123">
        <f t="shared" si="21"/>
        <v>3394745</v>
      </c>
      <c r="H71" s="123">
        <f t="shared" si="21"/>
        <v>1209375</v>
      </c>
      <c r="I71" s="123">
        <f t="shared" si="21"/>
        <v>2943569</v>
      </c>
      <c r="J71" s="123">
        <f t="shared" si="21"/>
        <v>0</v>
      </c>
      <c r="K71" s="123">
        <f t="shared" si="21"/>
        <v>274185</v>
      </c>
      <c r="L71" s="123">
        <f t="shared" si="21"/>
        <v>0</v>
      </c>
      <c r="M71" s="123">
        <f t="shared" si="21"/>
        <v>187464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38346297</v>
      </c>
      <c r="D72" s="132">
        <f t="shared" ref="D72:P72" si="22">SUM(D73:D79)</f>
        <v>31654236</v>
      </c>
      <c r="E72" s="132">
        <f t="shared" si="22"/>
        <v>48385</v>
      </c>
      <c r="F72" s="132">
        <f t="shared" si="22"/>
        <v>183950</v>
      </c>
      <c r="G72" s="132">
        <f t="shared" si="22"/>
        <v>2416395</v>
      </c>
      <c r="H72" s="132">
        <f t="shared" si="22"/>
        <v>933000</v>
      </c>
      <c r="I72" s="132">
        <f t="shared" si="22"/>
        <v>2669682</v>
      </c>
      <c r="J72" s="132">
        <f t="shared" si="22"/>
        <v>0</v>
      </c>
      <c r="K72" s="132">
        <f t="shared" si="22"/>
        <v>274185</v>
      </c>
      <c r="L72" s="132">
        <f t="shared" si="22"/>
        <v>0</v>
      </c>
      <c r="M72" s="132">
        <f t="shared" si="22"/>
        <v>166464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30689101</v>
      </c>
      <c r="D73" s="143">
        <f>SUMIFS('Plan rashoda za unos u SAP'!$J$3:$J$501,'Plan rashoda za unos u SAP'!$C$3:$C$501,"=11",'Plan rashoda za unos u SAP'!$N$3:$N$501,"=31")</f>
        <v>28157562</v>
      </c>
      <c r="E73" s="143">
        <f>SUMIFS('Plan rashoda za unos u SAP'!$J$3:$J$501,'Plan rashoda za unos u SAP'!$C$3:$C$501,"=12",'Plan rashoda za unos u SAP'!$N$3:$N$501,"=31")</f>
        <v>23818</v>
      </c>
      <c r="F73" s="143">
        <f>SUMIFS('Plan rashoda za unos u SAP'!$J$3:$J$501,'Plan rashoda za unos u SAP'!$C$3:$C$501,"=31",'Plan rashoda za unos u SAP'!$N$3:$N$501,"=31")</f>
        <v>109850</v>
      </c>
      <c r="G73" s="143">
        <f>SUMIFS('Plan rashoda za unos u SAP'!$J$3:$J$501,'Plan rashoda za unos u SAP'!$C$3:$C$501,"=43",'Plan rashoda za unos u SAP'!$N$3:$N$501,"=31")</f>
        <v>838345</v>
      </c>
      <c r="H73" s="143">
        <f>SUMIFS('Plan rashoda za unos u SAP'!$J$3:$J$501,'Plan rashoda za unos u SAP'!$C$3:$C$501,"=51",'Plan rashoda za unos u SAP'!$N$3:$N$501,"=31")</f>
        <v>666000</v>
      </c>
      <c r="I73" s="143">
        <f>SUMIFS('Plan rashoda za unos u SAP'!$J$3:$J$501,'Plan rashoda za unos u SAP'!$C$3:$C$501,"=52",'Plan rashoda za unos u SAP'!$N$3:$N$501,"=31")</f>
        <v>631089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134973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127464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7541896</v>
      </c>
      <c r="D74" s="143">
        <f>SUMIFS('Plan rashoda za unos u SAP'!$J$3:$J$501,'Plan rashoda za unos u SAP'!$C$3:$C$501,"=11",'Plan rashoda za unos u SAP'!$N$3:$N$501,"=32")</f>
        <v>3434574</v>
      </c>
      <c r="E74" s="143">
        <f>SUMIFS('Plan rashoda za unos u SAP'!$J$3:$J$501,'Plan rashoda za unos u SAP'!$C$3:$C$501,"=12",'Plan rashoda za unos u SAP'!$N$3:$N$501,"=32")</f>
        <v>24567</v>
      </c>
      <c r="F74" s="143">
        <f>SUMIFS('Plan rashoda za unos u SAP'!$J$3:$J$501,'Plan rashoda za unos u SAP'!$C$3:$C$501,"=31",'Plan rashoda za unos u SAP'!$N$3:$N$501,"=32")</f>
        <v>73500</v>
      </c>
      <c r="G74" s="143">
        <f>SUMIFS('Plan rashoda za unos u SAP'!$J$3:$J$501,'Plan rashoda za unos u SAP'!$C$3:$C$501,"=43",'Plan rashoda za unos u SAP'!$N$3:$N$501,"=32")</f>
        <v>1525450</v>
      </c>
      <c r="H74" s="143">
        <f>SUMIFS('Plan rashoda za unos u SAP'!$J$3:$J$501,'Plan rashoda za unos u SAP'!$C$3:$C$501,"=51",'Plan rashoda za unos u SAP'!$N$3:$N$501,"=32")</f>
        <v>267000</v>
      </c>
      <c r="I74" s="143">
        <f>SUMIFS('Plan rashoda za unos u SAP'!$J$3:$J$501,'Plan rashoda za unos u SAP'!$C$3:$C$501,"=52",'Plan rashoda za unos u SAP'!$N$3:$N$501,"=32")</f>
        <v>2038593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139212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39000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20300</v>
      </c>
      <c r="D75" s="143">
        <f>SUMIFS('Plan rashoda za unos u SAP'!$J$3:$J$501,'Plan rashoda za unos u SAP'!$C$3:$C$501,"=11",'Plan rashoda za unos u SAP'!$N$3:$N$501,"=34")</f>
        <v>16100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600</v>
      </c>
      <c r="G75" s="143">
        <f>SUMIFS('Plan rashoda za unos u SAP'!$J$3:$J$501,'Plan rashoda za unos u SAP'!$C$3:$C$501,"=43",'Plan rashoda za unos u SAP'!$N$3:$N$501,"=34")</f>
        <v>3600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91000</v>
      </c>
      <c r="D78" s="143">
        <f>SUMIFS('Plan rashoda za unos u SAP'!$J$3:$J$501,'Plan rashoda za unos u SAP'!$C$3:$C$501,"=11",'Plan rashoda za unos u SAP'!$N$3:$N$501,"=37")</f>
        <v>44000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47000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4000</v>
      </c>
      <c r="D79" s="143">
        <f>SUMIFS('Plan rashoda za unos u SAP'!$J$3:$J$501,'Plan rashoda za unos u SAP'!$C$3:$C$501,"=11",'Plan rashoda za unos u SAP'!$N$3:$N$501,"=38")</f>
        <v>2000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2000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1619612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70000</v>
      </c>
      <c r="G80" s="133">
        <f t="shared" si="24"/>
        <v>978350</v>
      </c>
      <c r="H80" s="133">
        <f t="shared" si="24"/>
        <v>276375</v>
      </c>
      <c r="I80" s="133">
        <f t="shared" si="24"/>
        <v>273887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21000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151500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1500</v>
      </c>
      <c r="G81" s="143">
        <f>SUMIFS('Plan rashoda za unos u SAP'!$J$3:$J$501,'Plan rashoda za unos u SAP'!$C$3:$C$501,"=43",'Plan rashoda za unos u SAP'!$N$3:$N$501,"=41")</f>
        <v>150000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1468112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68500</v>
      </c>
      <c r="G82" s="143">
        <f>SUMIFS('Plan rashoda za unos u SAP'!$J$3:$J$501,'Plan rashoda za unos u SAP'!$C$3:$C$501,"=43",'Plan rashoda za unos u SAP'!$N$3:$N$501,"=42")</f>
        <v>828350</v>
      </c>
      <c r="H82" s="143">
        <f>SUMIFS('Plan rashoda za unos u SAP'!$J$3:$J$501,'Plan rashoda za unos u SAP'!$C$3:$C$501,"=51",'Plan rashoda za unos u SAP'!$N$3:$N$501,"=42")</f>
        <v>276375</v>
      </c>
      <c r="I82" s="143">
        <f>SUMIFS('Plan rashoda za unos u SAP'!$J$3:$J$501,'Plan rashoda za unos u SAP'!$C$3:$C$501,"=52",'Plan rashoda za unos u SAP'!$N$3:$N$501,"=42")</f>
        <v>273887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21000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39730537</v>
      </c>
      <c r="D91" s="123">
        <f t="shared" ref="D91:P91" si="27">D92+D100+D106</f>
        <v>32077416</v>
      </c>
      <c r="E91" s="123">
        <f t="shared" si="27"/>
        <v>0</v>
      </c>
      <c r="F91" s="123">
        <f t="shared" si="27"/>
        <v>253950</v>
      </c>
      <c r="G91" s="123">
        <f t="shared" si="27"/>
        <v>3194745</v>
      </c>
      <c r="H91" s="123">
        <f t="shared" si="27"/>
        <v>1209375</v>
      </c>
      <c r="I91" s="123">
        <f t="shared" si="27"/>
        <v>2807587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187464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38123971</v>
      </c>
      <c r="D92" s="132">
        <f t="shared" ref="D92:P92" si="28">SUM(D93:D99)</f>
        <v>32077416</v>
      </c>
      <c r="E92" s="132">
        <f t="shared" si="28"/>
        <v>0</v>
      </c>
      <c r="F92" s="132">
        <f t="shared" si="28"/>
        <v>183950</v>
      </c>
      <c r="G92" s="132">
        <f t="shared" si="28"/>
        <v>2216395</v>
      </c>
      <c r="H92" s="132">
        <f t="shared" si="28"/>
        <v>933000</v>
      </c>
      <c r="I92" s="132">
        <f t="shared" si="28"/>
        <v>2546746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166464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30744726</v>
      </c>
      <c r="D93" s="143">
        <f>SUMIFS('Plan rashoda za unos u SAP'!$K$3:$K$501,'Plan rashoda za unos u SAP'!$C$3:$C$501,"=11",'Plan rashoda za unos u SAP'!$N$3:$N$501,"=31")</f>
        <v>28570742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109850</v>
      </c>
      <c r="G93" s="143">
        <f>SUMIFS('Plan rashoda za unos u SAP'!$K$3:$K$501,'Plan rashoda za unos u SAP'!$C$3:$C$501,"=43",'Plan rashoda za unos u SAP'!$N$3:$N$501,"=31")</f>
        <v>756795</v>
      </c>
      <c r="H93" s="143">
        <f>SUMIFS('Plan rashoda za unos u SAP'!$K$3:$K$501,'Plan rashoda za unos u SAP'!$C$3:$C$501,"=51",'Plan rashoda za unos u SAP'!$N$3:$N$501,"=31")</f>
        <v>666000</v>
      </c>
      <c r="I93" s="143">
        <f>SUMIFS('Plan rashoda za unos u SAP'!$K$3:$K$501,'Plan rashoda za unos u SAP'!$C$3:$C$501,"=52",'Plan rashoda za unos u SAP'!$N$3:$N$501,"=31")</f>
        <v>513875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127464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7263945</v>
      </c>
      <c r="D94" s="143">
        <f>SUMIFS('Plan rashoda za unos u SAP'!$K$3:$K$501,'Plan rashoda za unos u SAP'!$C$3:$C$501,"=11",'Plan rashoda za unos u SAP'!$N$3:$N$501,"=32")</f>
        <v>3444574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73500</v>
      </c>
      <c r="G94" s="143">
        <f>SUMIFS('Plan rashoda za unos u SAP'!$K$3:$K$501,'Plan rashoda za unos u SAP'!$C$3:$C$501,"=43",'Plan rashoda za unos u SAP'!$N$3:$N$501,"=32")</f>
        <v>1407000</v>
      </c>
      <c r="H94" s="143">
        <f>SUMIFS('Plan rashoda za unos u SAP'!$K$3:$K$501,'Plan rashoda za unos u SAP'!$C$3:$C$501,"=51",'Plan rashoda za unos u SAP'!$N$3:$N$501,"=32")</f>
        <v>267000</v>
      </c>
      <c r="I94" s="143">
        <f>SUMIFS('Plan rashoda za unos u SAP'!$K$3:$K$501,'Plan rashoda za unos u SAP'!$C$3:$C$501,"=52",'Plan rashoda za unos u SAP'!$N$3:$N$501,"=32")</f>
        <v>2032871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39000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20300</v>
      </c>
      <c r="D95" s="143">
        <f>SUMIFS('Plan rashoda za unos u SAP'!$K$3:$K$501,'Plan rashoda za unos u SAP'!$C$3:$C$501,"=11",'Plan rashoda za unos u SAP'!$N$3:$N$501,"=34")</f>
        <v>16100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600</v>
      </c>
      <c r="G95" s="143">
        <f>SUMIFS('Plan rashoda za unos u SAP'!$K$3:$K$501,'Plan rashoda za unos u SAP'!$C$3:$C$501,"=43",'Plan rashoda za unos u SAP'!$N$3:$N$501,"=34")</f>
        <v>3600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91000</v>
      </c>
      <c r="D98" s="143">
        <f>SUMIFS('Plan rashoda za unos u SAP'!$K$3:$K$501,'Plan rashoda za unos u SAP'!$C$3:$C$501,"=11",'Plan rashoda za unos u SAP'!$N$3:$N$501,"=37")</f>
        <v>44000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47000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4000</v>
      </c>
      <c r="D99" s="143">
        <f>SUMIFS('Plan rashoda za unos u SAP'!$K$3:$K$501,'Plan rashoda za unos u SAP'!$C$3:$C$501,"=11",'Plan rashoda za unos u SAP'!$N$3:$N$501,"=38")</f>
        <v>2000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2000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1606566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70000</v>
      </c>
      <c r="G100" s="133">
        <f t="shared" si="30"/>
        <v>978350</v>
      </c>
      <c r="H100" s="133">
        <f t="shared" si="30"/>
        <v>276375</v>
      </c>
      <c r="I100" s="133">
        <f t="shared" si="30"/>
        <v>260841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21000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151500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1500</v>
      </c>
      <c r="G101" s="143">
        <f>SUMIFS('Plan rashoda za unos u SAP'!$K$3:$K$501,'Plan rashoda za unos u SAP'!$C$3:$C$501,"=43",'Plan rashoda za unos u SAP'!$N$3:$N$501,"=41")</f>
        <v>150000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1455066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68500</v>
      </c>
      <c r="G102" s="143">
        <f>SUMIFS('Plan rashoda za unos u SAP'!$K$3:$K$501,'Plan rashoda za unos u SAP'!$C$3:$C$501,"=43",'Plan rashoda za unos u SAP'!$N$3:$N$501,"=42")</f>
        <v>828350</v>
      </c>
      <c r="H102" s="143">
        <f>SUMIFS('Plan rashoda za unos u SAP'!$K$3:$K$501,'Plan rashoda za unos u SAP'!$C$3:$C$501,"=51",'Plan rashoda za unos u SAP'!$N$3:$N$501,"=42")</f>
        <v>276375</v>
      </c>
      <c r="I102" s="143">
        <f>SUMIFS('Plan rashoda za unos u SAP'!$K$3:$K$501,'Plan rashoda za unos u SAP'!$C$3:$C$501,"=52",'Plan rashoda za unos u SAP'!$N$3:$N$501,"=42")</f>
        <v>260841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21000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4"/>
  <sheetViews>
    <sheetView showGridLines="0" zoomScaleNormal="100" workbookViewId="0">
      <pane ySplit="2" topLeftCell="A36" activePane="bottomLeft" state="frozen"/>
      <selection pane="bottomLeft" activeCell="I16" sqref="I16:I47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IFERROR(VLOOKUP(A3,$R$6:$S$18,2,FALSE),"")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 t="shared" ref="F3:F66" si="1">IFERROR(VLOOKUP(E3,$AA$6:$AB$200,2,FALSE),"")</f>
        <v>NOVI PODPROJEKT</v>
      </c>
      <c r="G3" s="198">
        <v>566524</v>
      </c>
      <c r="H3" s="198">
        <v>566524</v>
      </c>
      <c r="I3" s="198">
        <v>566524</v>
      </c>
      <c r="J3" s="226" t="s">
        <v>1692</v>
      </c>
      <c r="K3" s="225" t="s">
        <v>1670</v>
      </c>
      <c r="L3" s="225" t="s">
        <v>1671</v>
      </c>
      <c r="M3" s="226" t="s">
        <v>1672</v>
      </c>
      <c r="N3" s="226" t="s">
        <v>1673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2">IFERROR(VLOOKUP(A4,$R$6:$S$18,2,FALSE),"")</f>
        <v>Pomoći EU</v>
      </c>
      <c r="C4" s="154">
        <v>3132</v>
      </c>
      <c r="D4" s="149" t="str">
        <f t="shared" si="0"/>
        <v>Doprinosi za obvezno zdravstveno osiguranje</v>
      </c>
      <c r="E4" s="201" t="s">
        <v>914</v>
      </c>
      <c r="F4" s="149" t="str">
        <f t="shared" si="1"/>
        <v>NOVI PODPROJEKT</v>
      </c>
      <c r="G4" s="198">
        <v>93476</v>
      </c>
      <c r="H4" s="198">
        <v>93476</v>
      </c>
      <c r="I4" s="198">
        <v>93476</v>
      </c>
      <c r="J4" s="226" t="s">
        <v>1692</v>
      </c>
      <c r="K4" s="225" t="s">
        <v>1670</v>
      </c>
      <c r="L4" s="225" t="s">
        <v>1671</v>
      </c>
      <c r="M4" s="226" t="s">
        <v>1672</v>
      </c>
      <c r="N4" s="226" t="s">
        <v>1673</v>
      </c>
      <c r="P4" s="144" t="str">
        <f t="shared" ref="P4:P67" si="3">LEFT(C4,3)</f>
        <v>313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2"/>
        <v>Pomoći EU</v>
      </c>
      <c r="C5" s="154">
        <v>3121</v>
      </c>
      <c r="D5" s="149" t="str">
        <f t="shared" si="0"/>
        <v>Ostali rashodi za zaposlene</v>
      </c>
      <c r="E5" s="201" t="s">
        <v>914</v>
      </c>
      <c r="F5" s="149" t="str">
        <f t="shared" si="1"/>
        <v>NOVI PODPROJEKT</v>
      </c>
      <c r="G5" s="198">
        <v>6000</v>
      </c>
      <c r="H5" s="198">
        <v>6000</v>
      </c>
      <c r="I5" s="198">
        <v>6000</v>
      </c>
      <c r="J5" s="226" t="s">
        <v>1692</v>
      </c>
      <c r="K5" s="225" t="s">
        <v>1670</v>
      </c>
      <c r="L5" s="225" t="s">
        <v>1671</v>
      </c>
      <c r="M5" s="226" t="s">
        <v>1672</v>
      </c>
      <c r="N5" s="226" t="s">
        <v>1673</v>
      </c>
      <c r="P5" s="144" t="str">
        <f t="shared" si="3"/>
        <v>312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2"/>
        <v>Pomoći EU</v>
      </c>
      <c r="C6" s="154">
        <v>3212</v>
      </c>
      <c r="D6" s="149" t="str">
        <f t="shared" si="0"/>
        <v>Naknade za prijevoz, za rad na terenu i odvojeni život</v>
      </c>
      <c r="E6" s="201" t="s">
        <v>914</v>
      </c>
      <c r="F6" s="149" t="str">
        <f t="shared" si="1"/>
        <v>NOVI PODPROJEKT</v>
      </c>
      <c r="G6" s="198">
        <v>6000</v>
      </c>
      <c r="H6" s="198">
        <v>6000</v>
      </c>
      <c r="I6" s="198">
        <v>6000</v>
      </c>
      <c r="J6" s="226" t="s">
        <v>1692</v>
      </c>
      <c r="K6" s="225" t="s">
        <v>1670</v>
      </c>
      <c r="L6" s="225" t="s">
        <v>1671</v>
      </c>
      <c r="M6" s="226" t="s">
        <v>1672</v>
      </c>
      <c r="N6" s="226" t="s">
        <v>1673</v>
      </c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2"/>
        <v>Pomoći EU</v>
      </c>
      <c r="C7" s="154">
        <v>3211</v>
      </c>
      <c r="D7" s="149" t="str">
        <f t="shared" si="0"/>
        <v>Službena putovanja</v>
      </c>
      <c r="E7" s="201" t="s">
        <v>914</v>
      </c>
      <c r="F7" s="149" t="str">
        <f t="shared" si="1"/>
        <v>NOVI PODPROJEKT</v>
      </c>
      <c r="G7" s="198">
        <v>105000</v>
      </c>
      <c r="H7" s="198">
        <v>105000</v>
      </c>
      <c r="I7" s="198">
        <v>105000</v>
      </c>
      <c r="J7" s="226" t="s">
        <v>1692</v>
      </c>
      <c r="K7" s="225" t="s">
        <v>1670</v>
      </c>
      <c r="L7" s="225" t="s">
        <v>1671</v>
      </c>
      <c r="M7" s="226" t="s">
        <v>1672</v>
      </c>
      <c r="N7" s="226" t="s">
        <v>1673</v>
      </c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2"/>
        <v>Pomoći EU</v>
      </c>
      <c r="C8" s="154">
        <v>3221</v>
      </c>
      <c r="D8" s="149" t="str">
        <f t="shared" si="0"/>
        <v>Uredski materijal i ostali materijalni rashodi</v>
      </c>
      <c r="E8" s="201" t="s">
        <v>914</v>
      </c>
      <c r="F8" s="149" t="str">
        <f t="shared" si="1"/>
        <v>NOVI PODPROJEKT</v>
      </c>
      <c r="G8" s="198">
        <v>66000</v>
      </c>
      <c r="H8" s="198">
        <v>66000</v>
      </c>
      <c r="I8" s="198">
        <v>66000</v>
      </c>
      <c r="J8" s="226" t="s">
        <v>1692</v>
      </c>
      <c r="K8" s="225" t="s">
        <v>1670</v>
      </c>
      <c r="L8" s="225" t="s">
        <v>1671</v>
      </c>
      <c r="M8" s="226" t="s">
        <v>1672</v>
      </c>
      <c r="N8" s="226" t="s">
        <v>1673</v>
      </c>
      <c r="P8" s="144" t="str">
        <f t="shared" si="3"/>
        <v>322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2"/>
        <v>Pomoći EU</v>
      </c>
      <c r="C9" s="154">
        <v>3237</v>
      </c>
      <c r="D9" s="149" t="str">
        <f t="shared" si="0"/>
        <v>Intelektualne i osobne usluge</v>
      </c>
      <c r="E9" s="201" t="s">
        <v>914</v>
      </c>
      <c r="F9" s="149" t="str">
        <f t="shared" si="1"/>
        <v>NOVI PODPROJEKT</v>
      </c>
      <c r="G9" s="198">
        <v>90000</v>
      </c>
      <c r="H9" s="198">
        <v>90000</v>
      </c>
      <c r="I9" s="198">
        <v>90000</v>
      </c>
      <c r="J9" s="226" t="s">
        <v>1692</v>
      </c>
      <c r="K9" s="225" t="s">
        <v>1670</v>
      </c>
      <c r="L9" s="225" t="s">
        <v>1671</v>
      </c>
      <c r="M9" s="226" t="s">
        <v>1672</v>
      </c>
      <c r="N9" s="226" t="s">
        <v>1673</v>
      </c>
      <c r="P9" s="144" t="str">
        <f t="shared" si="3"/>
        <v>323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2"/>
        <v>Pomoći EU</v>
      </c>
      <c r="C10" s="154">
        <v>4221</v>
      </c>
      <c r="D10" s="149" t="str">
        <f t="shared" si="0"/>
        <v>Uredska oprema i namještaj</v>
      </c>
      <c r="E10" s="201" t="s">
        <v>914</v>
      </c>
      <c r="F10" s="149" t="str">
        <f t="shared" si="1"/>
        <v>NOVI PODPROJEKT</v>
      </c>
      <c r="G10" s="198">
        <v>223875</v>
      </c>
      <c r="H10" s="198">
        <v>223875</v>
      </c>
      <c r="I10" s="198">
        <v>223875</v>
      </c>
      <c r="J10" s="226" t="s">
        <v>1692</v>
      </c>
      <c r="K10" s="225" t="s">
        <v>1670</v>
      </c>
      <c r="L10" s="225" t="s">
        <v>1671</v>
      </c>
      <c r="M10" s="226" t="s">
        <v>1672</v>
      </c>
      <c r="N10" s="226" t="s">
        <v>1673</v>
      </c>
      <c r="P10" s="144" t="str">
        <f t="shared" si="3"/>
        <v>422</v>
      </c>
      <c r="Q10" s="144" t="str">
        <f t="shared" si="4"/>
        <v>42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2"/>
        <v>Pomoći EU</v>
      </c>
      <c r="C11" s="154">
        <v>4224</v>
      </c>
      <c r="D11" s="149" t="str">
        <f t="shared" si="0"/>
        <v>Medicinska i laboratorijska oprema</v>
      </c>
      <c r="E11" s="201" t="s">
        <v>914</v>
      </c>
      <c r="F11" s="149" t="str">
        <f t="shared" si="1"/>
        <v>NOVI PODPROJEKT</v>
      </c>
      <c r="G11" s="198">
        <v>52500</v>
      </c>
      <c r="H11" s="198">
        <v>52500</v>
      </c>
      <c r="I11" s="198">
        <v>52500</v>
      </c>
      <c r="J11" s="226" t="s">
        <v>1692</v>
      </c>
      <c r="K11" s="225" t="s">
        <v>1670</v>
      </c>
      <c r="L11" s="225" t="s">
        <v>1671</v>
      </c>
      <c r="M11" s="226" t="s">
        <v>1672</v>
      </c>
      <c r="N11" s="226" t="s">
        <v>1673</v>
      </c>
      <c r="P11" s="144" t="str">
        <f t="shared" si="3"/>
        <v>422</v>
      </c>
      <c r="Q11" s="144" t="str">
        <f t="shared" si="4"/>
        <v>42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61</v>
      </c>
      <c r="B12" s="149" t="str">
        <f t="shared" si="2"/>
        <v>Donacije</v>
      </c>
      <c r="C12" s="154">
        <v>3111</v>
      </c>
      <c r="D12" s="149" t="str">
        <f t="shared" si="0"/>
        <v>Plaće za redovan rad</v>
      </c>
      <c r="E12" s="201" t="s">
        <v>914</v>
      </c>
      <c r="F12" s="149" t="str">
        <f t="shared" si="1"/>
        <v>NOVI PODPROJEKT</v>
      </c>
      <c r="G12" s="198">
        <v>105064</v>
      </c>
      <c r="H12" s="198">
        <v>105064</v>
      </c>
      <c r="I12" s="198">
        <v>105064</v>
      </c>
      <c r="J12" s="226" t="s">
        <v>1669</v>
      </c>
      <c r="K12" s="225" t="s">
        <v>1674</v>
      </c>
      <c r="L12" s="225" t="s">
        <v>1675</v>
      </c>
      <c r="M12" s="226" t="s">
        <v>1676</v>
      </c>
      <c r="N12" s="226" t="s">
        <v>1677</v>
      </c>
      <c r="P12" s="144" t="str">
        <f t="shared" si="3"/>
        <v>311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61</v>
      </c>
      <c r="B13" s="149" t="str">
        <f t="shared" si="2"/>
        <v>Donacije</v>
      </c>
      <c r="C13" s="154">
        <v>3132</v>
      </c>
      <c r="D13" s="149" t="str">
        <f t="shared" si="0"/>
        <v>Doprinosi za obvezno zdravstveno osiguranje</v>
      </c>
      <c r="E13" s="201" t="s">
        <v>914</v>
      </c>
      <c r="F13" s="149" t="str">
        <f t="shared" si="1"/>
        <v>NOVI PODPROJEKT</v>
      </c>
      <c r="G13" s="198">
        <v>17336</v>
      </c>
      <c r="H13" s="198">
        <v>17336</v>
      </c>
      <c r="I13" s="198">
        <v>17336</v>
      </c>
      <c r="J13" s="226" t="s">
        <v>1669</v>
      </c>
      <c r="K13" s="225" t="s">
        <v>1674</v>
      </c>
      <c r="L13" s="225" t="s">
        <v>1675</v>
      </c>
      <c r="M13" s="226" t="s">
        <v>1676</v>
      </c>
      <c r="N13" s="226" t="s">
        <v>1677</v>
      </c>
      <c r="P13" s="144" t="str">
        <f t="shared" si="3"/>
        <v>313</v>
      </c>
      <c r="Q13" s="144" t="str">
        <f t="shared" si="4"/>
        <v>31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61</v>
      </c>
      <c r="B14" s="149" t="str">
        <f>IFERROR(VLOOKUP(A14,$R$6:$S$18,2,FALSE),"")</f>
        <v>Donacije</v>
      </c>
      <c r="C14" s="154">
        <v>3111</v>
      </c>
      <c r="D14" s="149" t="str">
        <f t="shared" si="0"/>
        <v>Plaće za redovan rad</v>
      </c>
      <c r="E14" s="201" t="s">
        <v>914</v>
      </c>
      <c r="F14" s="149" t="str">
        <f t="shared" si="1"/>
        <v>NOVI PODPROJEKT</v>
      </c>
      <c r="G14" s="198">
        <v>105064</v>
      </c>
      <c r="H14" s="198">
        <v>105064</v>
      </c>
      <c r="I14" s="198">
        <v>105064</v>
      </c>
      <c r="J14" s="226" t="s">
        <v>1696</v>
      </c>
      <c r="K14" s="225" t="s">
        <v>1690</v>
      </c>
      <c r="L14" s="225" t="s">
        <v>1691</v>
      </c>
      <c r="M14" s="226" t="s">
        <v>1676</v>
      </c>
      <c r="N14" s="226" t="s">
        <v>1677</v>
      </c>
      <c r="P14" s="144" t="str">
        <f>LEFT(C14,3)</f>
        <v>311</v>
      </c>
      <c r="Q14" s="144" t="str">
        <f>LEFT(C14,2)</f>
        <v>31</v>
      </c>
      <c r="U14" s="144">
        <v>3433</v>
      </c>
      <c r="V14" s="144" t="s">
        <v>156</v>
      </c>
      <c r="X14" s="144" t="str">
        <f>LEFT(U14,2)</f>
        <v>34</v>
      </c>
      <c r="Y14" s="144" t="str">
        <f>LEFT(U14,3)</f>
        <v>343</v>
      </c>
      <c r="AA14" s="144" t="s">
        <v>993</v>
      </c>
      <c r="AB14" s="144" t="s">
        <v>994</v>
      </c>
    </row>
    <row r="15" spans="1:28">
      <c r="A15" s="154">
        <v>61</v>
      </c>
      <c r="B15" s="149" t="str">
        <f>IFERROR(VLOOKUP(A15,$R$6:$S$18,2,FALSE),"")</f>
        <v>Donacije</v>
      </c>
      <c r="C15" s="154">
        <v>3132</v>
      </c>
      <c r="D15" s="149" t="str">
        <f t="shared" si="0"/>
        <v>Doprinosi za obvezno zdravstveno osiguranje</v>
      </c>
      <c r="E15" s="201" t="s">
        <v>914</v>
      </c>
      <c r="F15" s="149" t="str">
        <f t="shared" si="1"/>
        <v>NOVI PODPROJEKT</v>
      </c>
      <c r="G15" s="198">
        <v>17336</v>
      </c>
      <c r="H15" s="198">
        <v>17336</v>
      </c>
      <c r="I15" s="198">
        <v>17336</v>
      </c>
      <c r="J15" s="226" t="s">
        <v>1696</v>
      </c>
      <c r="K15" s="225" t="s">
        <v>1690</v>
      </c>
      <c r="L15" s="225" t="s">
        <v>1691</v>
      </c>
      <c r="M15" s="226" t="s">
        <v>1676</v>
      </c>
      <c r="N15" s="226" t="s">
        <v>1677</v>
      </c>
      <c r="P15" s="144" t="str">
        <f>LEFT(C15,3)</f>
        <v>313</v>
      </c>
      <c r="Q15" s="144" t="str">
        <f>LEFT(C15,2)</f>
        <v>31</v>
      </c>
      <c r="U15" s="144">
        <v>3434</v>
      </c>
      <c r="V15" s="144" t="s">
        <v>86</v>
      </c>
      <c r="X15" s="144" t="str">
        <f>LEFT(U15,2)</f>
        <v>34</v>
      </c>
      <c r="Y15" s="144" t="str">
        <f>LEFT(U15,3)</f>
        <v>343</v>
      </c>
      <c r="AA15" s="144" t="s">
        <v>995</v>
      </c>
      <c r="AB15" s="144" t="s">
        <v>996</v>
      </c>
    </row>
    <row r="16" spans="1:28">
      <c r="A16" s="154">
        <v>52</v>
      </c>
      <c r="B16" s="149" t="str">
        <f t="shared" si="2"/>
        <v>Ostale pomoći</v>
      </c>
      <c r="C16" s="154">
        <v>3211</v>
      </c>
      <c r="D16" s="149" t="str">
        <f t="shared" si="0"/>
        <v>Službena putovanja</v>
      </c>
      <c r="E16" s="201" t="s">
        <v>914</v>
      </c>
      <c r="F16" s="149" t="str">
        <f t="shared" si="1"/>
        <v>NOVI PODPROJEKT</v>
      </c>
      <c r="G16" s="198">
        <v>25000</v>
      </c>
      <c r="H16" s="198">
        <v>25000</v>
      </c>
      <c r="I16" s="198">
        <v>25000</v>
      </c>
      <c r="J16" s="226" t="s">
        <v>1693</v>
      </c>
      <c r="K16" s="225" t="s">
        <v>1678</v>
      </c>
      <c r="L16" s="225" t="s">
        <v>1679</v>
      </c>
      <c r="M16" s="226" t="s">
        <v>1680</v>
      </c>
      <c r="N16" s="226" t="s">
        <v>1681</v>
      </c>
      <c r="P16" s="144" t="str">
        <f t="shared" si="3"/>
        <v>321</v>
      </c>
      <c r="Q16" s="144" t="str">
        <f t="shared" si="4"/>
        <v>32</v>
      </c>
      <c r="R16" s="144">
        <v>81</v>
      </c>
      <c r="S16" s="144" t="s">
        <v>75</v>
      </c>
      <c r="U16" s="144">
        <v>3214</v>
      </c>
      <c r="V16" s="144" t="s">
        <v>146</v>
      </c>
      <c r="X16" s="144" t="str">
        <f t="shared" si="5"/>
        <v>32</v>
      </c>
      <c r="Y16" s="144" t="str">
        <f t="shared" si="6"/>
        <v>321</v>
      </c>
      <c r="AA16" s="144" t="s">
        <v>929</v>
      </c>
      <c r="AB16" s="144" t="s">
        <v>930</v>
      </c>
    </row>
    <row r="17" spans="1:28">
      <c r="A17" s="154">
        <v>52</v>
      </c>
      <c r="B17" s="149" t="str">
        <f t="shared" si="2"/>
        <v>Ostale pomoći</v>
      </c>
      <c r="C17" s="154">
        <v>3213</v>
      </c>
      <c r="D17" s="149" t="str">
        <f t="shared" si="0"/>
        <v>Stručno usavršavanje zaposlenika</v>
      </c>
      <c r="E17" s="201" t="s">
        <v>914</v>
      </c>
      <c r="F17" s="149" t="str">
        <f t="shared" si="1"/>
        <v>NOVI PODPROJEKT</v>
      </c>
      <c r="G17" s="198">
        <v>10000</v>
      </c>
      <c r="H17" s="198">
        <v>10000</v>
      </c>
      <c r="I17" s="198">
        <v>10000</v>
      </c>
      <c r="J17" s="226" t="s">
        <v>1693</v>
      </c>
      <c r="K17" s="225" t="s">
        <v>1678</v>
      </c>
      <c r="L17" s="225" t="s">
        <v>1679</v>
      </c>
      <c r="M17" s="226" t="s">
        <v>1680</v>
      </c>
      <c r="N17" s="226" t="s">
        <v>1681</v>
      </c>
      <c r="P17" s="144" t="str">
        <f t="shared" si="3"/>
        <v>321</v>
      </c>
      <c r="Q17" s="144" t="str">
        <f t="shared" si="4"/>
        <v>32</v>
      </c>
      <c r="R17" s="144">
        <v>561</v>
      </c>
      <c r="S17" s="144" t="s">
        <v>130</v>
      </c>
      <c r="U17" s="144">
        <v>3221</v>
      </c>
      <c r="V17" s="144" t="s">
        <v>98</v>
      </c>
      <c r="X17" s="144" t="str">
        <f t="shared" si="5"/>
        <v>32</v>
      </c>
      <c r="Y17" s="144" t="str">
        <f t="shared" si="6"/>
        <v>322</v>
      </c>
      <c r="AA17" s="144" t="s">
        <v>931</v>
      </c>
      <c r="AB17" s="144" t="s">
        <v>932</v>
      </c>
    </row>
    <row r="18" spans="1:28">
      <c r="A18" s="154">
        <v>52</v>
      </c>
      <c r="B18" s="149" t="str">
        <f t="shared" si="2"/>
        <v>Ostale pomoći</v>
      </c>
      <c r="C18" s="154">
        <v>3221</v>
      </c>
      <c r="D18" s="149" t="str">
        <f t="shared" si="0"/>
        <v>Uredski materijal i ostali materijalni rashodi</v>
      </c>
      <c r="E18" s="201" t="s">
        <v>914</v>
      </c>
      <c r="F18" s="149" t="str">
        <f t="shared" si="1"/>
        <v>NOVI PODPROJEKT</v>
      </c>
      <c r="G18" s="198">
        <v>50000</v>
      </c>
      <c r="H18" s="198">
        <v>50000</v>
      </c>
      <c r="I18" s="198">
        <v>50000</v>
      </c>
      <c r="J18" s="226" t="s">
        <v>1693</v>
      </c>
      <c r="K18" s="225" t="s">
        <v>1678</v>
      </c>
      <c r="L18" s="225" t="s">
        <v>1679</v>
      </c>
      <c r="M18" s="226" t="s">
        <v>1680</v>
      </c>
      <c r="N18" s="226" t="s">
        <v>1681</v>
      </c>
      <c r="P18" s="144" t="str">
        <f t="shared" si="3"/>
        <v>322</v>
      </c>
      <c r="Q18" s="144" t="str">
        <f t="shared" si="4"/>
        <v>32</v>
      </c>
      <c r="R18" s="144">
        <v>563</v>
      </c>
      <c r="S18" s="144" t="s">
        <v>132</v>
      </c>
      <c r="U18" s="144">
        <v>3222</v>
      </c>
      <c r="V18" s="144" t="s">
        <v>119</v>
      </c>
      <c r="X18" s="144" t="str">
        <f t="shared" si="5"/>
        <v>32</v>
      </c>
      <c r="Y18" s="144" t="str">
        <f t="shared" si="6"/>
        <v>322</v>
      </c>
      <c r="AA18" s="144" t="s">
        <v>933</v>
      </c>
      <c r="AB18" s="144" t="s">
        <v>934</v>
      </c>
    </row>
    <row r="19" spans="1:28">
      <c r="A19" s="154">
        <v>52</v>
      </c>
      <c r="B19" s="149" t="str">
        <f t="shared" si="2"/>
        <v>Ostale pomoći</v>
      </c>
      <c r="C19" s="154">
        <v>3224</v>
      </c>
      <c r="D19" s="149" t="str">
        <f t="shared" si="0"/>
        <v>Materijal i dijelovi za tekuće i investicijsko održavanje</v>
      </c>
      <c r="E19" s="201" t="s">
        <v>914</v>
      </c>
      <c r="F19" s="149" t="str">
        <f t="shared" si="1"/>
        <v>NOVI PODPROJEKT</v>
      </c>
      <c r="G19" s="198">
        <v>12000</v>
      </c>
      <c r="H19" s="198">
        <v>12000</v>
      </c>
      <c r="I19" s="198">
        <v>12000</v>
      </c>
      <c r="J19" s="226" t="s">
        <v>1693</v>
      </c>
      <c r="K19" s="225" t="s">
        <v>1678</v>
      </c>
      <c r="L19" s="225" t="s">
        <v>1679</v>
      </c>
      <c r="M19" s="226" t="s">
        <v>1680</v>
      </c>
      <c r="N19" s="226" t="s">
        <v>1681</v>
      </c>
      <c r="P19" s="144" t="str">
        <f t="shared" si="3"/>
        <v>322</v>
      </c>
      <c r="Q19" s="144" t="str">
        <f t="shared" si="4"/>
        <v>32</v>
      </c>
      <c r="U19" s="144">
        <v>3223</v>
      </c>
      <c r="V19" s="144" t="s">
        <v>107</v>
      </c>
      <c r="X19" s="144" t="str">
        <f t="shared" si="5"/>
        <v>32</v>
      </c>
      <c r="Y19" s="144" t="str">
        <f t="shared" si="6"/>
        <v>322</v>
      </c>
      <c r="AA19" s="144" t="s">
        <v>935</v>
      </c>
      <c r="AB19" s="144" t="s">
        <v>936</v>
      </c>
    </row>
    <row r="20" spans="1:28">
      <c r="A20" s="154">
        <v>52</v>
      </c>
      <c r="B20" s="149" t="str">
        <f t="shared" si="2"/>
        <v>Ostale pomoći</v>
      </c>
      <c r="C20" s="154">
        <v>3237</v>
      </c>
      <c r="D20" s="149" t="str">
        <f t="shared" si="0"/>
        <v>Intelektualne i osobne usluge</v>
      </c>
      <c r="E20" s="201" t="s">
        <v>914</v>
      </c>
      <c r="F20" s="149" t="str">
        <f t="shared" si="1"/>
        <v>NOVI PODPROJEKT</v>
      </c>
      <c r="G20" s="198">
        <v>60000</v>
      </c>
      <c r="H20" s="198">
        <v>60000</v>
      </c>
      <c r="I20" s="198">
        <v>60000</v>
      </c>
      <c r="J20" s="226" t="s">
        <v>1693</v>
      </c>
      <c r="K20" s="225" t="s">
        <v>1678</v>
      </c>
      <c r="L20" s="225" t="s">
        <v>1679</v>
      </c>
      <c r="M20" s="226" t="s">
        <v>1680</v>
      </c>
      <c r="N20" s="226" t="s">
        <v>1681</v>
      </c>
      <c r="P20" s="144" t="str">
        <f t="shared" si="3"/>
        <v>323</v>
      </c>
      <c r="Q20" s="144" t="str">
        <f t="shared" si="4"/>
        <v>32</v>
      </c>
      <c r="U20" s="144">
        <v>3224</v>
      </c>
      <c r="V20" s="144" t="s">
        <v>112</v>
      </c>
      <c r="X20" s="144" t="str">
        <f t="shared" si="5"/>
        <v>32</v>
      </c>
      <c r="Y20" s="144" t="str">
        <f t="shared" si="6"/>
        <v>322</v>
      </c>
      <c r="AA20" s="144" t="s">
        <v>937</v>
      </c>
      <c r="AB20" s="144" t="s">
        <v>938</v>
      </c>
    </row>
    <row r="21" spans="1:28">
      <c r="A21" s="154">
        <v>52</v>
      </c>
      <c r="B21" s="149" t="str">
        <f t="shared" si="2"/>
        <v>Ostale pomoći</v>
      </c>
      <c r="C21" s="154">
        <v>3293</v>
      </c>
      <c r="D21" s="149" t="str">
        <f t="shared" si="0"/>
        <v>Reprezentacija</v>
      </c>
      <c r="E21" s="201" t="s">
        <v>914</v>
      </c>
      <c r="F21" s="149" t="str">
        <f t="shared" si="1"/>
        <v>NOVI PODPROJEKT</v>
      </c>
      <c r="G21" s="198">
        <v>5000</v>
      </c>
      <c r="H21" s="198">
        <v>5000</v>
      </c>
      <c r="I21" s="198">
        <v>5000</v>
      </c>
      <c r="J21" s="226" t="s">
        <v>1693</v>
      </c>
      <c r="K21" s="225" t="s">
        <v>1678</v>
      </c>
      <c r="L21" s="225" t="s">
        <v>1679</v>
      </c>
      <c r="M21" s="226" t="s">
        <v>1680</v>
      </c>
      <c r="N21" s="226" t="s">
        <v>1681</v>
      </c>
      <c r="P21" s="144" t="str">
        <f t="shared" si="3"/>
        <v>329</v>
      </c>
      <c r="Q21" s="144" t="str">
        <f t="shared" si="4"/>
        <v>32</v>
      </c>
      <c r="U21" s="144">
        <v>3225</v>
      </c>
      <c r="V21" s="144" t="s">
        <v>120</v>
      </c>
      <c r="X21" s="144" t="str">
        <f t="shared" si="5"/>
        <v>32</v>
      </c>
      <c r="Y21" s="144" t="str">
        <f t="shared" si="6"/>
        <v>322</v>
      </c>
      <c r="AA21" s="144" t="s">
        <v>939</v>
      </c>
      <c r="AB21" s="144" t="s">
        <v>940</v>
      </c>
    </row>
    <row r="22" spans="1:28">
      <c r="A22" s="154">
        <v>52</v>
      </c>
      <c r="B22" s="149" t="str">
        <f t="shared" si="2"/>
        <v>Ostale pomoći</v>
      </c>
      <c r="C22" s="154">
        <v>3294</v>
      </c>
      <c r="D22" s="149" t="str">
        <f t="shared" si="0"/>
        <v>Članarine i norme</v>
      </c>
      <c r="E22" s="201" t="s">
        <v>914</v>
      </c>
      <c r="F22" s="149" t="str">
        <f t="shared" si="1"/>
        <v>NOVI PODPROJEKT</v>
      </c>
      <c r="G22" s="198">
        <v>5000</v>
      </c>
      <c r="H22" s="198">
        <v>5000</v>
      </c>
      <c r="I22" s="198">
        <v>5000</v>
      </c>
      <c r="J22" s="226" t="s">
        <v>1693</v>
      </c>
      <c r="K22" s="225" t="s">
        <v>1678</v>
      </c>
      <c r="L22" s="225" t="s">
        <v>1679</v>
      </c>
      <c r="M22" s="226" t="s">
        <v>1680</v>
      </c>
      <c r="N22" s="226" t="s">
        <v>1681</v>
      </c>
      <c r="P22" s="144" t="str">
        <f t="shared" si="3"/>
        <v>329</v>
      </c>
      <c r="Q22" s="144" t="str">
        <f t="shared" si="4"/>
        <v>32</v>
      </c>
      <c r="U22" s="144">
        <v>3226</v>
      </c>
      <c r="V22" s="144" t="s">
        <v>195</v>
      </c>
      <c r="X22" s="144" t="str">
        <f t="shared" si="5"/>
        <v>32</v>
      </c>
      <c r="Y22" s="144" t="str">
        <f t="shared" si="6"/>
        <v>322</v>
      </c>
      <c r="AA22" s="144" t="s">
        <v>941</v>
      </c>
      <c r="AB22" s="144" t="s">
        <v>942</v>
      </c>
    </row>
    <row r="23" spans="1:28">
      <c r="A23" s="154">
        <v>52</v>
      </c>
      <c r="B23" s="149" t="str">
        <f t="shared" si="2"/>
        <v>Ostale pomoći</v>
      </c>
      <c r="C23" s="154">
        <v>4221</v>
      </c>
      <c r="D23" s="149" t="str">
        <f t="shared" si="0"/>
        <v>Uredska oprema i namještaj</v>
      </c>
      <c r="E23" s="201" t="s">
        <v>914</v>
      </c>
      <c r="F23" s="149" t="str">
        <f t="shared" si="1"/>
        <v>NOVI PODPROJEKT</v>
      </c>
      <c r="G23" s="198">
        <v>50000</v>
      </c>
      <c r="H23" s="198">
        <v>50000</v>
      </c>
      <c r="I23" s="198">
        <v>50000</v>
      </c>
      <c r="J23" s="226" t="s">
        <v>1693</v>
      </c>
      <c r="K23" s="225" t="s">
        <v>1678</v>
      </c>
      <c r="L23" s="225" t="s">
        <v>1679</v>
      </c>
      <c r="M23" s="226" t="s">
        <v>1680</v>
      </c>
      <c r="N23" s="226" t="s">
        <v>1681</v>
      </c>
      <c r="P23" s="144" t="str">
        <f t="shared" si="3"/>
        <v>422</v>
      </c>
      <c r="Q23" s="144" t="str">
        <f t="shared" si="4"/>
        <v>42</v>
      </c>
      <c r="U23" s="144">
        <v>3227</v>
      </c>
      <c r="V23" s="144" t="s">
        <v>137</v>
      </c>
      <c r="X23" s="144" t="str">
        <f t="shared" si="5"/>
        <v>32</v>
      </c>
      <c r="Y23" s="144" t="str">
        <f t="shared" si="6"/>
        <v>322</v>
      </c>
      <c r="AA23" s="144" t="s">
        <v>943</v>
      </c>
      <c r="AB23" s="144" t="s">
        <v>944</v>
      </c>
    </row>
    <row r="24" spans="1:28">
      <c r="A24" s="154">
        <v>52</v>
      </c>
      <c r="B24" s="149" t="str">
        <f t="shared" si="2"/>
        <v>Ostale pomoći</v>
      </c>
      <c r="C24" s="154">
        <v>4222</v>
      </c>
      <c r="D24" s="149" t="str">
        <f t="shared" si="0"/>
        <v>Komunikacijska oprema</v>
      </c>
      <c r="E24" s="201" t="s">
        <v>914</v>
      </c>
      <c r="F24" s="149" t="str">
        <f t="shared" si="1"/>
        <v>NOVI PODPROJEKT</v>
      </c>
      <c r="G24" s="198">
        <v>10000</v>
      </c>
      <c r="H24" s="198">
        <v>10000</v>
      </c>
      <c r="I24" s="198">
        <v>10000</v>
      </c>
      <c r="J24" s="226" t="s">
        <v>1693</v>
      </c>
      <c r="K24" s="225" t="s">
        <v>1678</v>
      </c>
      <c r="L24" s="225" t="s">
        <v>1679</v>
      </c>
      <c r="M24" s="226" t="s">
        <v>1680</v>
      </c>
      <c r="N24" s="226" t="s">
        <v>1681</v>
      </c>
      <c r="P24" s="144" t="str">
        <f t="shared" si="3"/>
        <v>422</v>
      </c>
      <c r="Q24" s="144" t="str">
        <f t="shared" si="4"/>
        <v>42</v>
      </c>
      <c r="U24" s="144">
        <v>3231</v>
      </c>
      <c r="V24" s="144" t="s">
        <v>121</v>
      </c>
      <c r="X24" s="144" t="str">
        <f t="shared" si="5"/>
        <v>32</v>
      </c>
      <c r="Y24" s="144" t="str">
        <f t="shared" si="6"/>
        <v>323</v>
      </c>
      <c r="AA24" s="144" t="s">
        <v>945</v>
      </c>
      <c r="AB24" s="144" t="s">
        <v>946</v>
      </c>
    </row>
    <row r="25" spans="1:28">
      <c r="A25" s="154">
        <v>52</v>
      </c>
      <c r="B25" s="149" t="str">
        <f t="shared" si="2"/>
        <v>Ostale pomoći</v>
      </c>
      <c r="C25" s="154">
        <v>4224</v>
      </c>
      <c r="D25" s="149" t="str">
        <f t="shared" si="0"/>
        <v>Medicinska i laboratorijska oprema</v>
      </c>
      <c r="E25" s="201" t="s">
        <v>914</v>
      </c>
      <c r="F25" s="149" t="str">
        <f t="shared" si="1"/>
        <v>NOVI PODPROJEKT</v>
      </c>
      <c r="G25" s="198">
        <v>30000</v>
      </c>
      <c r="H25" s="198">
        <v>30000</v>
      </c>
      <c r="I25" s="198">
        <v>30000</v>
      </c>
      <c r="J25" s="226" t="s">
        <v>1693</v>
      </c>
      <c r="K25" s="225" t="s">
        <v>1678</v>
      </c>
      <c r="L25" s="225" t="s">
        <v>1679</v>
      </c>
      <c r="M25" s="226" t="s">
        <v>1680</v>
      </c>
      <c r="N25" s="226" t="s">
        <v>1681</v>
      </c>
      <c r="P25" s="144" t="str">
        <f t="shared" si="3"/>
        <v>422</v>
      </c>
      <c r="Q25" s="144" t="str">
        <f t="shared" si="4"/>
        <v>42</v>
      </c>
      <c r="U25" s="144">
        <v>3232</v>
      </c>
      <c r="V25" s="144" t="s">
        <v>108</v>
      </c>
      <c r="X25" s="144" t="str">
        <f t="shared" si="5"/>
        <v>32</v>
      </c>
      <c r="Y25" s="144" t="str">
        <f t="shared" si="6"/>
        <v>323</v>
      </c>
      <c r="AA25" s="144" t="s">
        <v>947</v>
      </c>
      <c r="AB25" s="144" t="s">
        <v>948</v>
      </c>
    </row>
    <row r="26" spans="1:28">
      <c r="A26" s="154">
        <v>52</v>
      </c>
      <c r="B26" s="149" t="str">
        <f t="shared" si="2"/>
        <v>Ostale pomoći</v>
      </c>
      <c r="C26" s="154">
        <v>4227</v>
      </c>
      <c r="D26" s="149" t="str">
        <f t="shared" si="0"/>
        <v>Uređaji, strojevi i oprema za ostale namjene</v>
      </c>
      <c r="E26" s="201" t="s">
        <v>914</v>
      </c>
      <c r="F26" s="149" t="str">
        <f t="shared" si="1"/>
        <v>NOVI PODPROJEKT</v>
      </c>
      <c r="G26" s="198">
        <v>15000</v>
      </c>
      <c r="H26" s="198">
        <v>15000</v>
      </c>
      <c r="I26" s="198">
        <v>15000</v>
      </c>
      <c r="J26" s="226" t="s">
        <v>1693</v>
      </c>
      <c r="K26" s="225" t="s">
        <v>1678</v>
      </c>
      <c r="L26" s="225" t="s">
        <v>1679</v>
      </c>
      <c r="M26" s="226" t="s">
        <v>1680</v>
      </c>
      <c r="N26" s="226" t="s">
        <v>1681</v>
      </c>
      <c r="P26" s="144" t="str">
        <f t="shared" si="3"/>
        <v>422</v>
      </c>
      <c r="Q26" s="144" t="str">
        <f t="shared" si="4"/>
        <v>42</v>
      </c>
      <c r="U26" s="144">
        <v>3233</v>
      </c>
      <c r="V26" s="144" t="s">
        <v>96</v>
      </c>
      <c r="X26" s="144" t="str">
        <f t="shared" si="5"/>
        <v>32</v>
      </c>
      <c r="Y26" s="144" t="str">
        <f t="shared" si="6"/>
        <v>323</v>
      </c>
      <c r="AA26" s="144" t="s">
        <v>949</v>
      </c>
      <c r="AB26" s="144" t="s">
        <v>950</v>
      </c>
    </row>
    <row r="27" spans="1:28">
      <c r="A27" s="154">
        <v>52</v>
      </c>
      <c r="B27" s="149" t="str">
        <f t="shared" si="2"/>
        <v>Ostale pomoći</v>
      </c>
      <c r="C27" s="154">
        <v>4241</v>
      </c>
      <c r="D27" s="149" t="str">
        <f t="shared" si="0"/>
        <v>Knjige</v>
      </c>
      <c r="E27" s="201" t="s">
        <v>914</v>
      </c>
      <c r="F27" s="149" t="str">
        <f t="shared" si="1"/>
        <v>NOVI PODPROJEKT</v>
      </c>
      <c r="G27" s="198">
        <v>4082</v>
      </c>
      <c r="H27" s="198">
        <v>4082</v>
      </c>
      <c r="I27" s="198">
        <v>4082</v>
      </c>
      <c r="J27" s="226" t="s">
        <v>1693</v>
      </c>
      <c r="K27" s="225" t="s">
        <v>1678</v>
      </c>
      <c r="L27" s="225" t="s">
        <v>1679</v>
      </c>
      <c r="M27" s="226" t="s">
        <v>1680</v>
      </c>
      <c r="N27" s="226" t="s">
        <v>1681</v>
      </c>
      <c r="P27" s="144" t="str">
        <f t="shared" si="3"/>
        <v>424</v>
      </c>
      <c r="Q27" s="144" t="str">
        <f t="shared" si="4"/>
        <v>42</v>
      </c>
      <c r="U27" s="144">
        <v>3234</v>
      </c>
      <c r="V27" s="144" t="s">
        <v>109</v>
      </c>
      <c r="X27" s="144" t="str">
        <f t="shared" si="5"/>
        <v>32</v>
      </c>
      <c r="Y27" s="144" t="str">
        <f t="shared" si="6"/>
        <v>323</v>
      </c>
      <c r="AA27" s="144" t="s">
        <v>951</v>
      </c>
      <c r="AB27" s="144" t="s">
        <v>952</v>
      </c>
    </row>
    <row r="28" spans="1:28">
      <c r="A28" s="154">
        <v>52</v>
      </c>
      <c r="B28" s="149" t="str">
        <f t="shared" si="2"/>
        <v>Ostale pomoći</v>
      </c>
      <c r="C28" s="154">
        <v>4262</v>
      </c>
      <c r="D28" s="149" t="str">
        <f t="shared" si="0"/>
        <v>Ulaganja u računalne programe</v>
      </c>
      <c r="E28" s="201" t="s">
        <v>914</v>
      </c>
      <c r="F28" s="149" t="str">
        <f t="shared" si="1"/>
        <v>NOVI PODPROJEKT</v>
      </c>
      <c r="G28" s="198">
        <v>10000</v>
      </c>
      <c r="H28" s="198">
        <v>10000</v>
      </c>
      <c r="I28" s="198">
        <v>10000</v>
      </c>
      <c r="J28" s="226" t="s">
        <v>1693</v>
      </c>
      <c r="K28" s="225" t="s">
        <v>1678</v>
      </c>
      <c r="L28" s="225" t="s">
        <v>1679</v>
      </c>
      <c r="M28" s="226" t="s">
        <v>1680</v>
      </c>
      <c r="N28" s="226" t="s">
        <v>1681</v>
      </c>
      <c r="P28" s="144" t="str">
        <f t="shared" si="3"/>
        <v>426</v>
      </c>
      <c r="Q28" s="144" t="str">
        <f t="shared" si="4"/>
        <v>42</v>
      </c>
      <c r="U28" s="144">
        <v>3235</v>
      </c>
      <c r="V28" s="144" t="s">
        <v>129</v>
      </c>
      <c r="X28" s="144" t="str">
        <f t="shared" si="5"/>
        <v>32</v>
      </c>
      <c r="Y28" s="144" t="str">
        <f t="shared" si="6"/>
        <v>323</v>
      </c>
      <c r="AA28" s="144" t="s">
        <v>953</v>
      </c>
      <c r="AB28" s="144" t="s">
        <v>954</v>
      </c>
    </row>
    <row r="29" spans="1:28">
      <c r="A29" s="154">
        <v>52</v>
      </c>
      <c r="B29" s="149" t="str">
        <f t="shared" si="2"/>
        <v>Ostale pomoći</v>
      </c>
      <c r="C29" s="154">
        <v>3225</v>
      </c>
      <c r="D29" s="149" t="str">
        <f t="shared" si="0"/>
        <v>Sitni inventar i auto gume</v>
      </c>
      <c r="E29" s="201" t="s">
        <v>914</v>
      </c>
      <c r="F29" s="149" t="str">
        <f t="shared" si="1"/>
        <v>NOVI PODPROJEKT</v>
      </c>
      <c r="G29" s="198">
        <v>8000</v>
      </c>
      <c r="H29" s="198">
        <v>8000</v>
      </c>
      <c r="I29" s="198">
        <v>8000</v>
      </c>
      <c r="J29" s="226" t="s">
        <v>1693</v>
      </c>
      <c r="K29" s="225" t="s">
        <v>1678</v>
      </c>
      <c r="L29" s="225" t="s">
        <v>1679</v>
      </c>
      <c r="M29" s="226" t="s">
        <v>1680</v>
      </c>
      <c r="N29" s="226" t="s">
        <v>1681</v>
      </c>
      <c r="P29" s="144" t="str">
        <f t="shared" si="3"/>
        <v>322</v>
      </c>
      <c r="Q29" s="144" t="str">
        <f t="shared" si="4"/>
        <v>32</v>
      </c>
      <c r="U29" s="144">
        <v>3236</v>
      </c>
      <c r="V29" s="144" t="s">
        <v>72</v>
      </c>
      <c r="X29" s="144" t="str">
        <f t="shared" si="5"/>
        <v>32</v>
      </c>
      <c r="Y29" s="144" t="str">
        <f t="shared" si="6"/>
        <v>323</v>
      </c>
      <c r="AA29" s="144" t="s">
        <v>955</v>
      </c>
      <c r="AB29" s="144" t="s">
        <v>956</v>
      </c>
    </row>
    <row r="30" spans="1:28">
      <c r="A30" s="154">
        <v>52</v>
      </c>
      <c r="B30" s="149" t="str">
        <f t="shared" si="2"/>
        <v>Ostale pomoći</v>
      </c>
      <c r="C30" s="154">
        <v>3211</v>
      </c>
      <c r="D30" s="149" t="str">
        <f t="shared" si="0"/>
        <v>Službena putovanja</v>
      </c>
      <c r="E30" s="201" t="s">
        <v>914</v>
      </c>
      <c r="F30" s="149" t="str">
        <f t="shared" si="1"/>
        <v>NOVI PODPROJEKT</v>
      </c>
      <c r="G30" s="198">
        <v>5000</v>
      </c>
      <c r="H30" s="198">
        <v>4000</v>
      </c>
      <c r="I30" s="198"/>
      <c r="J30" s="226" t="s">
        <v>1694</v>
      </c>
      <c r="K30" s="225" t="s">
        <v>1682</v>
      </c>
      <c r="L30" s="225" t="s">
        <v>1683</v>
      </c>
      <c r="M30" s="226" t="s">
        <v>1684</v>
      </c>
      <c r="N30" s="226" t="s">
        <v>1685</v>
      </c>
      <c r="P30" s="144" t="str">
        <f t="shared" si="3"/>
        <v>321</v>
      </c>
      <c r="Q30" s="144" t="str">
        <f t="shared" si="4"/>
        <v>32</v>
      </c>
      <c r="U30" s="144">
        <v>3237</v>
      </c>
      <c r="V30" s="144" t="s">
        <v>85</v>
      </c>
      <c r="X30" s="144" t="str">
        <f t="shared" si="5"/>
        <v>32</v>
      </c>
      <c r="Y30" s="144" t="str">
        <f t="shared" si="6"/>
        <v>323</v>
      </c>
      <c r="AA30" s="144" t="s">
        <v>957</v>
      </c>
      <c r="AB30" s="144" t="s">
        <v>958</v>
      </c>
    </row>
    <row r="31" spans="1:28">
      <c r="A31" s="154">
        <v>52</v>
      </c>
      <c r="B31" s="149" t="str">
        <f t="shared" si="2"/>
        <v>Ostale pomoći</v>
      </c>
      <c r="C31" s="154">
        <v>3213</v>
      </c>
      <c r="D31" s="149" t="str">
        <f t="shared" si="0"/>
        <v>Stručno usavršavanje zaposlenika</v>
      </c>
      <c r="E31" s="201" t="s">
        <v>914</v>
      </c>
      <c r="F31" s="149" t="str">
        <f t="shared" si="1"/>
        <v>NOVI PODPROJEKT</v>
      </c>
      <c r="G31" s="198">
        <v>2000</v>
      </c>
      <c r="H31" s="198">
        <v>1000</v>
      </c>
      <c r="I31" s="198"/>
      <c r="J31" s="226" t="s">
        <v>1694</v>
      </c>
      <c r="K31" s="225" t="s">
        <v>1682</v>
      </c>
      <c r="L31" s="225" t="s">
        <v>1683</v>
      </c>
      <c r="M31" s="226" t="s">
        <v>1684</v>
      </c>
      <c r="N31" s="226" t="s">
        <v>1685</v>
      </c>
      <c r="P31" s="144" t="str">
        <f t="shared" si="3"/>
        <v>321</v>
      </c>
      <c r="Q31" s="144" t="str">
        <f t="shared" si="4"/>
        <v>32</v>
      </c>
      <c r="U31" s="144">
        <v>3238</v>
      </c>
      <c r="V31" s="144" t="s">
        <v>122</v>
      </c>
      <c r="X31" s="144" t="str">
        <f t="shared" si="5"/>
        <v>32</v>
      </c>
      <c r="Y31" s="144" t="str">
        <f t="shared" si="6"/>
        <v>323</v>
      </c>
      <c r="AA31" s="144" t="s">
        <v>959</v>
      </c>
      <c r="AB31" s="144" t="s">
        <v>960</v>
      </c>
    </row>
    <row r="32" spans="1:28">
      <c r="A32" s="154">
        <v>52</v>
      </c>
      <c r="B32" s="149" t="str">
        <f t="shared" si="2"/>
        <v>Ostale pomoći</v>
      </c>
      <c r="C32" s="154">
        <v>3221</v>
      </c>
      <c r="D32" s="149" t="str">
        <f t="shared" si="0"/>
        <v>Uredski materijal i ostali materijalni rashodi</v>
      </c>
      <c r="E32" s="201" t="s">
        <v>914</v>
      </c>
      <c r="F32" s="149" t="str">
        <f t="shared" si="1"/>
        <v>NOVI PODPROJEKT</v>
      </c>
      <c r="G32" s="198">
        <v>5000</v>
      </c>
      <c r="H32" s="198">
        <v>3000</v>
      </c>
      <c r="I32" s="198"/>
      <c r="J32" s="226" t="s">
        <v>1694</v>
      </c>
      <c r="K32" s="225" t="s">
        <v>1682</v>
      </c>
      <c r="L32" s="225" t="s">
        <v>1683</v>
      </c>
      <c r="M32" s="226" t="s">
        <v>1684</v>
      </c>
      <c r="N32" s="226" t="s">
        <v>1685</v>
      </c>
      <c r="P32" s="144" t="str">
        <f t="shared" si="3"/>
        <v>322</v>
      </c>
      <c r="Q32" s="144" t="str">
        <f t="shared" si="4"/>
        <v>32</v>
      </c>
      <c r="U32" s="144">
        <v>3239</v>
      </c>
      <c r="V32" s="144" t="s">
        <v>102</v>
      </c>
      <c r="X32" s="144" t="str">
        <f t="shared" si="5"/>
        <v>32</v>
      </c>
      <c r="Y32" s="144" t="str">
        <f t="shared" si="6"/>
        <v>323</v>
      </c>
      <c r="AA32" s="144" t="s">
        <v>961</v>
      </c>
      <c r="AB32" s="144" t="s">
        <v>962</v>
      </c>
    </row>
    <row r="33" spans="1:28">
      <c r="A33" s="154">
        <v>52</v>
      </c>
      <c r="B33" s="149" t="str">
        <f t="shared" si="2"/>
        <v>Ostale pomoći</v>
      </c>
      <c r="C33" s="154">
        <v>3224</v>
      </c>
      <c r="D33" s="149" t="str">
        <f t="shared" si="0"/>
        <v>Materijal i dijelovi za tekuće i investicijsko održavanje</v>
      </c>
      <c r="E33" s="201" t="s">
        <v>914</v>
      </c>
      <c r="F33" s="149" t="str">
        <f t="shared" si="1"/>
        <v>NOVI PODPROJEKT</v>
      </c>
      <c r="G33" s="198">
        <v>2000</v>
      </c>
      <c r="H33" s="198">
        <v>1000</v>
      </c>
      <c r="I33" s="198"/>
      <c r="J33" s="226" t="s">
        <v>1694</v>
      </c>
      <c r="K33" s="225" t="s">
        <v>1682</v>
      </c>
      <c r="L33" s="225" t="s">
        <v>1683</v>
      </c>
      <c r="M33" s="226" t="s">
        <v>1684</v>
      </c>
      <c r="N33" s="226" t="s">
        <v>1685</v>
      </c>
      <c r="P33" s="144" t="str">
        <f t="shared" si="3"/>
        <v>322</v>
      </c>
      <c r="Q33" s="144" t="str">
        <f t="shared" si="4"/>
        <v>32</v>
      </c>
      <c r="U33" s="144">
        <v>3241</v>
      </c>
      <c r="V33" s="144" t="s">
        <v>99</v>
      </c>
      <c r="X33" s="144" t="str">
        <f t="shared" si="5"/>
        <v>32</v>
      </c>
      <c r="Y33" s="144" t="str">
        <f t="shared" si="6"/>
        <v>324</v>
      </c>
      <c r="AA33" s="144" t="s">
        <v>963</v>
      </c>
      <c r="AB33" s="144" t="s">
        <v>964</v>
      </c>
    </row>
    <row r="34" spans="1:28">
      <c r="A34" s="154">
        <v>52</v>
      </c>
      <c r="B34" s="149" t="str">
        <f t="shared" si="2"/>
        <v>Ostale pomoći</v>
      </c>
      <c r="C34" s="154">
        <v>3225</v>
      </c>
      <c r="D34" s="149" t="str">
        <f t="shared" si="0"/>
        <v>Sitni inventar i auto gume</v>
      </c>
      <c r="E34" s="201" t="s">
        <v>914</v>
      </c>
      <c r="F34" s="149" t="str">
        <f t="shared" si="1"/>
        <v>NOVI PODPROJEKT</v>
      </c>
      <c r="G34" s="198">
        <v>1000</v>
      </c>
      <c r="H34" s="198">
        <v>500</v>
      </c>
      <c r="I34" s="198"/>
      <c r="J34" s="226" t="s">
        <v>1694</v>
      </c>
      <c r="K34" s="225" t="s">
        <v>1682</v>
      </c>
      <c r="L34" s="225" t="s">
        <v>1683</v>
      </c>
      <c r="M34" s="226" t="s">
        <v>1684</v>
      </c>
      <c r="N34" s="226" t="s">
        <v>1685</v>
      </c>
      <c r="P34" s="144" t="str">
        <f t="shared" si="3"/>
        <v>322</v>
      </c>
      <c r="Q34" s="144" t="str">
        <f t="shared" si="4"/>
        <v>32</v>
      </c>
      <c r="U34" s="144">
        <v>3291</v>
      </c>
      <c r="V34" s="144" t="s">
        <v>100</v>
      </c>
      <c r="X34" s="144" t="str">
        <f t="shared" si="5"/>
        <v>32</v>
      </c>
      <c r="Y34" s="144" t="str">
        <f t="shared" si="6"/>
        <v>329</v>
      </c>
      <c r="AA34" s="144" t="s">
        <v>965</v>
      </c>
      <c r="AB34" s="144" t="s">
        <v>966</v>
      </c>
    </row>
    <row r="35" spans="1:28">
      <c r="A35" s="154">
        <v>52</v>
      </c>
      <c r="B35" s="149" t="str">
        <f t="shared" si="2"/>
        <v>Ostale pomoći</v>
      </c>
      <c r="C35" s="154">
        <v>3237</v>
      </c>
      <c r="D35" s="149" t="str">
        <f t="shared" si="0"/>
        <v>Intelektualne i osobne usluge</v>
      </c>
      <c r="E35" s="201" t="s">
        <v>914</v>
      </c>
      <c r="F35" s="149" t="str">
        <f t="shared" si="1"/>
        <v>NOVI PODPROJEKT</v>
      </c>
      <c r="G35" s="198">
        <v>1000</v>
      </c>
      <c r="H35" s="198">
        <v>1000</v>
      </c>
      <c r="I35" s="198"/>
      <c r="J35" s="226" t="s">
        <v>1694</v>
      </c>
      <c r="K35" s="225" t="s">
        <v>1682</v>
      </c>
      <c r="L35" s="225" t="s">
        <v>1683</v>
      </c>
      <c r="M35" s="226" t="s">
        <v>1684</v>
      </c>
      <c r="N35" s="226" t="s">
        <v>1685</v>
      </c>
      <c r="P35" s="144" t="str">
        <f t="shared" si="3"/>
        <v>323</v>
      </c>
      <c r="Q35" s="144" t="str">
        <f t="shared" si="4"/>
        <v>32</v>
      </c>
      <c r="U35" s="144">
        <v>3292</v>
      </c>
      <c r="V35" s="144" t="s">
        <v>93</v>
      </c>
      <c r="X35" s="144" t="str">
        <f t="shared" si="5"/>
        <v>32</v>
      </c>
      <c r="Y35" s="144" t="str">
        <f t="shared" si="6"/>
        <v>329</v>
      </c>
      <c r="AA35" s="144" t="s">
        <v>967</v>
      </c>
      <c r="AB35" s="144" t="s">
        <v>968</v>
      </c>
    </row>
    <row r="36" spans="1:28">
      <c r="A36" s="154">
        <v>52</v>
      </c>
      <c r="B36" s="149" t="str">
        <f t="shared" si="2"/>
        <v>Ostale pomoći</v>
      </c>
      <c r="C36" s="154">
        <v>3293</v>
      </c>
      <c r="D36" s="149" t="str">
        <f t="shared" si="0"/>
        <v>Reprezentacija</v>
      </c>
      <c r="E36" s="201" t="s">
        <v>914</v>
      </c>
      <c r="F36" s="149" t="str">
        <f t="shared" si="1"/>
        <v>NOVI PODPROJEKT</v>
      </c>
      <c r="G36" s="198">
        <v>800</v>
      </c>
      <c r="H36" s="198">
        <v>800</v>
      </c>
      <c r="I36" s="198"/>
      <c r="J36" s="226" t="s">
        <v>1694</v>
      </c>
      <c r="K36" s="225" t="s">
        <v>1682</v>
      </c>
      <c r="L36" s="225" t="s">
        <v>1683</v>
      </c>
      <c r="M36" s="226" t="s">
        <v>1684</v>
      </c>
      <c r="N36" s="226" t="s">
        <v>1685</v>
      </c>
      <c r="P36" s="144" t="str">
        <f t="shared" si="3"/>
        <v>329</v>
      </c>
      <c r="Q36" s="144" t="str">
        <f t="shared" si="4"/>
        <v>32</v>
      </c>
      <c r="U36" s="144">
        <v>3293</v>
      </c>
      <c r="V36" s="144" t="s">
        <v>103</v>
      </c>
      <c r="X36" s="144" t="str">
        <f t="shared" si="5"/>
        <v>32</v>
      </c>
      <c r="Y36" s="144" t="str">
        <f t="shared" si="6"/>
        <v>329</v>
      </c>
      <c r="AA36" s="144" t="s">
        <v>969</v>
      </c>
      <c r="AB36" s="144" t="s">
        <v>970</v>
      </c>
    </row>
    <row r="37" spans="1:28">
      <c r="A37" s="154">
        <v>52</v>
      </c>
      <c r="B37" s="149" t="str">
        <f t="shared" si="2"/>
        <v>Ostale pomoći</v>
      </c>
      <c r="C37" s="154">
        <v>3294</v>
      </c>
      <c r="D37" s="149" t="str">
        <f t="shared" si="0"/>
        <v>Članarine i norme</v>
      </c>
      <c r="E37" s="201" t="s">
        <v>914</v>
      </c>
      <c r="F37" s="149" t="str">
        <f t="shared" si="1"/>
        <v>NOVI PODPROJEKT</v>
      </c>
      <c r="G37" s="198">
        <v>500</v>
      </c>
      <c r="H37" s="198">
        <v>500</v>
      </c>
      <c r="I37" s="198"/>
      <c r="J37" s="226" t="s">
        <v>1694</v>
      </c>
      <c r="K37" s="225" t="s">
        <v>1682</v>
      </c>
      <c r="L37" s="225" t="s">
        <v>1683</v>
      </c>
      <c r="M37" s="226" t="s">
        <v>1684</v>
      </c>
      <c r="N37" s="226" t="s">
        <v>1685</v>
      </c>
      <c r="P37" s="144" t="str">
        <f t="shared" si="3"/>
        <v>329</v>
      </c>
      <c r="Q37" s="144" t="str">
        <f t="shared" si="4"/>
        <v>32</v>
      </c>
      <c r="U37" s="144">
        <v>3293</v>
      </c>
      <c r="V37" s="144" t="s">
        <v>151</v>
      </c>
      <c r="X37" s="144" t="str">
        <f t="shared" si="5"/>
        <v>32</v>
      </c>
      <c r="Y37" s="144" t="str">
        <f t="shared" si="6"/>
        <v>329</v>
      </c>
      <c r="AA37" s="144" t="s">
        <v>971</v>
      </c>
      <c r="AB37" s="144" t="s">
        <v>972</v>
      </c>
    </row>
    <row r="38" spans="1:28">
      <c r="A38" s="154">
        <v>52</v>
      </c>
      <c r="B38" s="149" t="str">
        <f t="shared" si="2"/>
        <v>Ostale pomoći</v>
      </c>
      <c r="C38" s="154">
        <v>4221</v>
      </c>
      <c r="D38" s="149" t="str">
        <f t="shared" si="0"/>
        <v>Uredska oprema i namještaj</v>
      </c>
      <c r="E38" s="201" t="s">
        <v>914</v>
      </c>
      <c r="F38" s="149" t="str">
        <f t="shared" si="1"/>
        <v>NOVI PODPROJEKT</v>
      </c>
      <c r="G38" s="198">
        <v>5000</v>
      </c>
      <c r="H38" s="198">
        <v>4000</v>
      </c>
      <c r="I38" s="198"/>
      <c r="J38" s="226" t="s">
        <v>1694</v>
      </c>
      <c r="K38" s="225" t="s">
        <v>1682</v>
      </c>
      <c r="L38" s="225" t="s">
        <v>1683</v>
      </c>
      <c r="M38" s="226" t="s">
        <v>1684</v>
      </c>
      <c r="N38" s="226" t="s">
        <v>1685</v>
      </c>
      <c r="P38" s="144" t="str">
        <f t="shared" si="3"/>
        <v>422</v>
      </c>
      <c r="Q38" s="144" t="str">
        <f t="shared" si="4"/>
        <v>42</v>
      </c>
      <c r="U38" s="144">
        <v>3294</v>
      </c>
      <c r="V38" s="144" t="s">
        <v>104</v>
      </c>
      <c r="X38" s="144" t="str">
        <f t="shared" si="5"/>
        <v>32</v>
      </c>
      <c r="Y38" s="144" t="str">
        <f t="shared" si="6"/>
        <v>329</v>
      </c>
      <c r="AA38" s="144" t="s">
        <v>973</v>
      </c>
      <c r="AB38" s="144" t="s">
        <v>974</v>
      </c>
    </row>
    <row r="39" spans="1:28">
      <c r="A39" s="154">
        <v>52</v>
      </c>
      <c r="B39" s="149" t="str">
        <f t="shared" si="2"/>
        <v>Ostale pomoći</v>
      </c>
      <c r="C39" s="154">
        <v>4222</v>
      </c>
      <c r="D39" s="149" t="str">
        <f t="shared" si="0"/>
        <v>Komunikacijska oprema</v>
      </c>
      <c r="E39" s="201" t="s">
        <v>914</v>
      </c>
      <c r="F39" s="149" t="str">
        <f t="shared" si="1"/>
        <v>NOVI PODPROJEKT</v>
      </c>
      <c r="G39" s="198">
        <v>1500</v>
      </c>
      <c r="H39" s="198">
        <v>1000</v>
      </c>
      <c r="I39" s="198"/>
      <c r="J39" s="226" t="s">
        <v>1694</v>
      </c>
      <c r="K39" s="225" t="s">
        <v>1682</v>
      </c>
      <c r="L39" s="225" t="s">
        <v>1683</v>
      </c>
      <c r="M39" s="226" t="s">
        <v>1684</v>
      </c>
      <c r="N39" s="226" t="s">
        <v>1685</v>
      </c>
      <c r="P39" s="144" t="str">
        <f t="shared" si="3"/>
        <v>422</v>
      </c>
      <c r="Q39" s="144" t="str">
        <f t="shared" si="4"/>
        <v>42</v>
      </c>
      <c r="U39" s="144">
        <v>3295</v>
      </c>
      <c r="V39" s="144" t="s">
        <v>73</v>
      </c>
      <c r="X39" s="144" t="str">
        <f t="shared" si="5"/>
        <v>32</v>
      </c>
      <c r="Y39" s="144" t="str">
        <f t="shared" si="6"/>
        <v>329</v>
      </c>
      <c r="AA39" s="144" t="s">
        <v>975</v>
      </c>
      <c r="AB39" s="144" t="s">
        <v>976</v>
      </c>
    </row>
    <row r="40" spans="1:28">
      <c r="A40" s="154">
        <v>52</v>
      </c>
      <c r="B40" s="149" t="str">
        <f t="shared" si="2"/>
        <v>Ostale pomoći</v>
      </c>
      <c r="C40" s="154">
        <v>4224</v>
      </c>
      <c r="D40" s="149" t="str">
        <f t="shared" si="0"/>
        <v>Medicinska i laboratorijska oprema</v>
      </c>
      <c r="E40" s="201" t="s">
        <v>914</v>
      </c>
      <c r="F40" s="149" t="str">
        <f t="shared" si="1"/>
        <v>NOVI PODPROJEKT</v>
      </c>
      <c r="G40" s="198">
        <v>1750</v>
      </c>
      <c r="H40" s="198">
        <v>2542</v>
      </c>
      <c r="I40" s="198"/>
      <c r="J40" s="226" t="s">
        <v>1694</v>
      </c>
      <c r="K40" s="225" t="s">
        <v>1682</v>
      </c>
      <c r="L40" s="225" t="s">
        <v>1683</v>
      </c>
      <c r="M40" s="226" t="s">
        <v>1684</v>
      </c>
      <c r="N40" s="226" t="s">
        <v>1685</v>
      </c>
      <c r="P40" s="144" t="str">
        <f t="shared" si="3"/>
        <v>422</v>
      </c>
      <c r="Q40" s="144" t="str">
        <f t="shared" si="4"/>
        <v>42</v>
      </c>
      <c r="U40" s="144">
        <v>3296</v>
      </c>
      <c r="V40" s="144" t="s">
        <v>168</v>
      </c>
      <c r="X40" s="144" t="str">
        <f t="shared" si="5"/>
        <v>32</v>
      </c>
      <c r="Y40" s="144" t="str">
        <f t="shared" si="6"/>
        <v>329</v>
      </c>
      <c r="AA40" s="144" t="s">
        <v>977</v>
      </c>
      <c r="AB40" s="144" t="s">
        <v>978</v>
      </c>
    </row>
    <row r="41" spans="1:28">
      <c r="A41" s="154">
        <v>52</v>
      </c>
      <c r="B41" s="149" t="str">
        <f t="shared" si="2"/>
        <v>Ostale pomoći</v>
      </c>
      <c r="C41" s="154">
        <v>4227</v>
      </c>
      <c r="D41" s="149" t="str">
        <f t="shared" si="0"/>
        <v>Uređaji, strojevi i oprema za ostale namjene</v>
      </c>
      <c r="E41" s="201" t="s">
        <v>914</v>
      </c>
      <c r="F41" s="149" t="str">
        <f t="shared" si="1"/>
        <v>NOVI PODPROJEKT</v>
      </c>
      <c r="G41" s="198">
        <v>5000</v>
      </c>
      <c r="H41" s="198">
        <v>3000</v>
      </c>
      <c r="I41" s="198"/>
      <c r="J41" s="226" t="s">
        <v>1694</v>
      </c>
      <c r="K41" s="225" t="s">
        <v>1682</v>
      </c>
      <c r="L41" s="225" t="s">
        <v>1683</v>
      </c>
      <c r="M41" s="226" t="s">
        <v>1684</v>
      </c>
      <c r="N41" s="226" t="s">
        <v>1685</v>
      </c>
      <c r="P41" s="144" t="str">
        <f t="shared" si="3"/>
        <v>422</v>
      </c>
      <c r="Q41" s="144" t="str">
        <f t="shared" si="4"/>
        <v>42</v>
      </c>
      <c r="U41" s="144">
        <v>3299</v>
      </c>
      <c r="V41" s="144" t="s">
        <v>76</v>
      </c>
      <c r="X41" s="144" t="str">
        <f t="shared" si="5"/>
        <v>32</v>
      </c>
      <c r="Y41" s="144" t="str">
        <f t="shared" si="6"/>
        <v>329</v>
      </c>
      <c r="AA41" s="144" t="s">
        <v>979</v>
      </c>
      <c r="AB41" s="144" t="s">
        <v>980</v>
      </c>
    </row>
    <row r="42" spans="1:28">
      <c r="A42" s="154">
        <v>52</v>
      </c>
      <c r="B42" s="149" t="str">
        <f t="shared" si="2"/>
        <v>Ostale pomoći</v>
      </c>
      <c r="C42" s="154">
        <v>4241</v>
      </c>
      <c r="D42" s="149" t="str">
        <f t="shared" si="0"/>
        <v>Knjige</v>
      </c>
      <c r="E42" s="201" t="s">
        <v>914</v>
      </c>
      <c r="F42" s="149" t="str">
        <f t="shared" si="1"/>
        <v>NOVI PODPROJEKT</v>
      </c>
      <c r="G42" s="198">
        <v>1200</v>
      </c>
      <c r="H42" s="198">
        <v>1000</v>
      </c>
      <c r="I42" s="198"/>
      <c r="J42" s="226" t="s">
        <v>1694</v>
      </c>
      <c r="K42" s="225" t="s">
        <v>1682</v>
      </c>
      <c r="L42" s="225" t="s">
        <v>1683</v>
      </c>
      <c r="M42" s="226" t="s">
        <v>1684</v>
      </c>
      <c r="N42" s="226" t="s">
        <v>1685</v>
      </c>
      <c r="P42" s="144" t="str">
        <f t="shared" si="3"/>
        <v>424</v>
      </c>
      <c r="Q42" s="144" t="str">
        <f t="shared" si="4"/>
        <v>42</v>
      </c>
      <c r="U42" s="144">
        <v>3411</v>
      </c>
      <c r="V42" s="144" t="s">
        <v>206</v>
      </c>
      <c r="X42" s="144" t="str">
        <f t="shared" si="5"/>
        <v>34</v>
      </c>
      <c r="Y42" s="144" t="str">
        <f t="shared" si="6"/>
        <v>341</v>
      </c>
      <c r="AA42" s="144" t="s">
        <v>981</v>
      </c>
      <c r="AB42" s="144" t="s">
        <v>982</v>
      </c>
    </row>
    <row r="43" spans="1:28">
      <c r="A43" s="154">
        <v>52</v>
      </c>
      <c r="B43" s="149" t="str">
        <f t="shared" si="2"/>
        <v>Ostale pomoći</v>
      </c>
      <c r="C43" s="154">
        <v>4262</v>
      </c>
      <c r="D43" s="149" t="str">
        <f t="shared" si="0"/>
        <v>Ulaganja u računalne programe</v>
      </c>
      <c r="E43" s="201" t="s">
        <v>914</v>
      </c>
      <c r="F43" s="149" t="str">
        <f t="shared" si="1"/>
        <v>NOVI PODPROJEKT</v>
      </c>
      <c r="G43" s="198">
        <v>1000</v>
      </c>
      <c r="H43" s="198">
        <v>1500</v>
      </c>
      <c r="I43" s="198"/>
      <c r="J43" s="226" t="s">
        <v>1694</v>
      </c>
      <c r="K43" s="225" t="s">
        <v>1682</v>
      </c>
      <c r="L43" s="225" t="s">
        <v>1683</v>
      </c>
      <c r="M43" s="226" t="s">
        <v>1684</v>
      </c>
      <c r="N43" s="226" t="s">
        <v>1685</v>
      </c>
      <c r="P43" s="144" t="str">
        <f t="shared" si="3"/>
        <v>426</v>
      </c>
      <c r="Q43" s="144" t="str">
        <f t="shared" si="4"/>
        <v>42</v>
      </c>
      <c r="U43" s="144">
        <v>3422</v>
      </c>
      <c r="V43" s="144" t="s">
        <v>169</v>
      </c>
      <c r="X43" s="144" t="str">
        <f t="shared" si="5"/>
        <v>34</v>
      </c>
      <c r="Y43" s="144" t="str">
        <f t="shared" si="6"/>
        <v>342</v>
      </c>
      <c r="AA43" s="144" t="s">
        <v>983</v>
      </c>
      <c r="AB43" s="144" t="s">
        <v>984</v>
      </c>
    </row>
    <row r="44" spans="1:28">
      <c r="A44" s="154">
        <v>52</v>
      </c>
      <c r="B44" s="149" t="str">
        <f t="shared" si="2"/>
        <v>Ostale pomoći</v>
      </c>
      <c r="C44" s="154">
        <v>3111</v>
      </c>
      <c r="D44" s="149" t="str">
        <f t="shared" si="0"/>
        <v>Plaće za redovan rad</v>
      </c>
      <c r="E44" s="201" t="s">
        <v>914</v>
      </c>
      <c r="F44" s="149" t="str">
        <f t="shared" si="1"/>
        <v>NOVI PODPROJEKT</v>
      </c>
      <c r="G44" s="198">
        <v>183540</v>
      </c>
      <c r="H44" s="198">
        <v>144107</v>
      </c>
      <c r="I44" s="198">
        <v>43494</v>
      </c>
      <c r="J44" s="226" t="s">
        <v>1695</v>
      </c>
      <c r="K44" s="225" t="s">
        <v>1686</v>
      </c>
      <c r="L44" s="225" t="s">
        <v>1687</v>
      </c>
      <c r="M44" s="226" t="s">
        <v>1688</v>
      </c>
      <c r="N44" s="226" t="s">
        <v>1689</v>
      </c>
      <c r="P44" s="144" t="str">
        <f t="shared" si="3"/>
        <v>311</v>
      </c>
      <c r="Q44" s="144" t="str">
        <f t="shared" si="4"/>
        <v>31</v>
      </c>
      <c r="U44" s="144">
        <v>3423</v>
      </c>
      <c r="V44" s="144" t="s">
        <v>169</v>
      </c>
      <c r="X44" s="144" t="str">
        <f t="shared" si="5"/>
        <v>34</v>
      </c>
      <c r="Y44" s="144" t="str">
        <f t="shared" si="6"/>
        <v>342</v>
      </c>
      <c r="AA44" s="144" t="s">
        <v>985</v>
      </c>
      <c r="AB44" s="144" t="s">
        <v>986</v>
      </c>
    </row>
    <row r="45" spans="1:28">
      <c r="A45" s="154">
        <v>52</v>
      </c>
      <c r="B45" s="149" t="str">
        <f t="shared" si="2"/>
        <v>Ostale pomoći</v>
      </c>
      <c r="C45" s="154">
        <v>3132</v>
      </c>
      <c r="D45" s="149" t="str">
        <f t="shared" si="0"/>
        <v>Doprinosi za obvezno zdravstveno osiguranje</v>
      </c>
      <c r="E45" s="201" t="s">
        <v>914</v>
      </c>
      <c r="F45" s="149" t="str">
        <f t="shared" si="1"/>
        <v>NOVI PODPROJEKT</v>
      </c>
      <c r="G45" s="198">
        <v>30285</v>
      </c>
      <c r="H45" s="198">
        <v>23778</v>
      </c>
      <c r="I45" s="198">
        <v>7177</v>
      </c>
      <c r="J45" s="226" t="s">
        <v>1695</v>
      </c>
      <c r="K45" s="225" t="s">
        <v>1686</v>
      </c>
      <c r="L45" s="225" t="s">
        <v>1687</v>
      </c>
      <c r="M45" s="226" t="s">
        <v>1688</v>
      </c>
      <c r="N45" s="226" t="s">
        <v>1689</v>
      </c>
      <c r="P45" s="144" t="str">
        <f t="shared" si="3"/>
        <v>313</v>
      </c>
      <c r="Q45" s="144" t="str">
        <f t="shared" si="4"/>
        <v>31</v>
      </c>
      <c r="U45" s="144">
        <v>3427</v>
      </c>
      <c r="V45" s="144" t="s">
        <v>208</v>
      </c>
      <c r="X45" s="144" t="str">
        <f t="shared" si="5"/>
        <v>34</v>
      </c>
      <c r="Y45" s="144" t="str">
        <f t="shared" si="6"/>
        <v>342</v>
      </c>
      <c r="AA45" s="144" t="s">
        <v>987</v>
      </c>
      <c r="AB45" s="144" t="s">
        <v>988</v>
      </c>
    </row>
    <row r="46" spans="1:28">
      <c r="A46" s="154">
        <v>52</v>
      </c>
      <c r="B46" s="149" t="str">
        <f t="shared" si="2"/>
        <v>Ostale pomoći</v>
      </c>
      <c r="C46" s="154">
        <v>3237</v>
      </c>
      <c r="D46" s="149" t="str">
        <f t="shared" si="0"/>
        <v>Intelektualne i osobne usluge</v>
      </c>
      <c r="E46" s="201" t="s">
        <v>914</v>
      </c>
      <c r="F46" s="149" t="str">
        <f t="shared" si="1"/>
        <v>NOVI PODPROJEKT</v>
      </c>
      <c r="G46" s="198">
        <v>558000</v>
      </c>
      <c r="H46" s="198"/>
      <c r="I46" s="198"/>
      <c r="J46" s="226" t="s">
        <v>1695</v>
      </c>
      <c r="K46" s="225" t="s">
        <v>1686</v>
      </c>
      <c r="L46" s="225" t="s">
        <v>1687</v>
      </c>
      <c r="M46" s="226" t="s">
        <v>1688</v>
      </c>
      <c r="N46" s="226" t="s">
        <v>1689</v>
      </c>
      <c r="P46" s="144" t="str">
        <f t="shared" si="3"/>
        <v>323</v>
      </c>
      <c r="Q46" s="144" t="str">
        <f t="shared" si="4"/>
        <v>32</v>
      </c>
      <c r="U46" s="144">
        <v>3431</v>
      </c>
      <c r="V46" s="144" t="s">
        <v>101</v>
      </c>
      <c r="X46" s="144" t="str">
        <f t="shared" si="5"/>
        <v>34</v>
      </c>
      <c r="Y46" s="144" t="str">
        <f t="shared" si="6"/>
        <v>343</v>
      </c>
      <c r="AA46" s="144" t="s">
        <v>989</v>
      </c>
      <c r="AB46" s="144" t="s">
        <v>990</v>
      </c>
    </row>
    <row r="47" spans="1:28">
      <c r="A47" s="154">
        <v>52</v>
      </c>
      <c r="B47" s="149" t="str">
        <f t="shared" si="2"/>
        <v>Ostale pomoći</v>
      </c>
      <c r="C47" s="154">
        <v>3299</v>
      </c>
      <c r="D47" s="149" t="str">
        <f t="shared" si="0"/>
        <v>Ostali nespomenuti rashodi poslovanja</v>
      </c>
      <c r="E47" s="201" t="s">
        <v>914</v>
      </c>
      <c r="F47" s="149" t="str">
        <f t="shared" si="1"/>
        <v>NOVI PODPROJEKT</v>
      </c>
      <c r="G47" s="198">
        <v>24771</v>
      </c>
      <c r="H47" s="198">
        <v>24771</v>
      </c>
      <c r="I47" s="198">
        <v>16514</v>
      </c>
      <c r="J47" s="226" t="s">
        <v>1695</v>
      </c>
      <c r="K47" s="225" t="s">
        <v>1686</v>
      </c>
      <c r="L47" s="225" t="s">
        <v>1687</v>
      </c>
      <c r="M47" s="226" t="s">
        <v>1688</v>
      </c>
      <c r="N47" s="226" t="s">
        <v>1689</v>
      </c>
      <c r="P47" s="144" t="str">
        <f t="shared" si="3"/>
        <v>329</v>
      </c>
      <c r="Q47" s="144" t="str">
        <f t="shared" si="4"/>
        <v>32</v>
      </c>
      <c r="U47" s="144">
        <v>3432</v>
      </c>
      <c r="V47" s="144" t="s">
        <v>117</v>
      </c>
      <c r="X47" s="144" t="str">
        <f t="shared" si="5"/>
        <v>34</v>
      </c>
      <c r="Y47" s="144" t="str">
        <f t="shared" si="6"/>
        <v>343</v>
      </c>
      <c r="AA47" s="144" t="s">
        <v>991</v>
      </c>
      <c r="AB47" s="144" t="s">
        <v>992</v>
      </c>
    </row>
    <row r="48" spans="1:28">
      <c r="A48" s="154"/>
      <c r="B48" s="149" t="str">
        <f t="shared" si="2"/>
        <v/>
      </c>
      <c r="C48" s="154"/>
      <c r="D48" s="149" t="str">
        <f t="shared" si="0"/>
        <v/>
      </c>
      <c r="E48" s="201"/>
      <c r="F48" s="149" t="str">
        <f t="shared" si="1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2"/>
        <v/>
      </c>
      <c r="C49" s="154"/>
      <c r="D49" s="149" t="str">
        <f t="shared" si="0"/>
        <v/>
      </c>
      <c r="E49" s="201"/>
      <c r="F49" s="149" t="str">
        <f t="shared" si="1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2"/>
        <v/>
      </c>
      <c r="C50" s="154"/>
      <c r="D50" s="149" t="str">
        <f t="shared" si="0"/>
        <v/>
      </c>
      <c r="E50" s="201"/>
      <c r="F50" s="149" t="str">
        <f t="shared" si="1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2"/>
        <v/>
      </c>
      <c r="C51" s="154"/>
      <c r="D51" s="149" t="str">
        <f t="shared" si="0"/>
        <v/>
      </c>
      <c r="E51" s="201"/>
      <c r="F51" s="149" t="str">
        <f t="shared" si="1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2"/>
        <v/>
      </c>
      <c r="C52" s="154"/>
      <c r="D52" s="149" t="str">
        <f t="shared" si="0"/>
        <v/>
      </c>
      <c r="E52" s="201"/>
      <c r="F52" s="149" t="str">
        <f t="shared" si="1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2"/>
        <v/>
      </c>
      <c r="C53" s="154"/>
      <c r="D53" s="149" t="str">
        <f t="shared" si="0"/>
        <v/>
      </c>
      <c r="E53" s="201"/>
      <c r="F53" s="149" t="str">
        <f t="shared" si="1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2"/>
        <v/>
      </c>
      <c r="C54" s="154"/>
      <c r="D54" s="149" t="str">
        <f t="shared" si="0"/>
        <v/>
      </c>
      <c r="E54" s="201"/>
      <c r="F54" s="149" t="str">
        <f t="shared" si="1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2"/>
        <v/>
      </c>
      <c r="C55" s="154"/>
      <c r="D55" s="149" t="str">
        <f t="shared" si="0"/>
        <v/>
      </c>
      <c r="E55" s="201"/>
      <c r="F55" s="149" t="str">
        <f t="shared" si="1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2"/>
        <v/>
      </c>
      <c r="C56" s="154"/>
      <c r="D56" s="149" t="str">
        <f t="shared" si="0"/>
        <v/>
      </c>
      <c r="E56" s="201"/>
      <c r="F56" s="149" t="str">
        <f t="shared" si="1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2"/>
        <v/>
      </c>
      <c r="C57" s="154"/>
      <c r="D57" s="149" t="str">
        <f t="shared" si="0"/>
        <v/>
      </c>
      <c r="E57" s="201"/>
      <c r="F57" s="149" t="str">
        <f t="shared" si="1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2"/>
        <v/>
      </c>
      <c r="C58" s="154"/>
      <c r="D58" s="149" t="str">
        <f t="shared" si="0"/>
        <v/>
      </c>
      <c r="E58" s="201"/>
      <c r="F58" s="149" t="str">
        <f t="shared" si="1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2"/>
        <v/>
      </c>
      <c r="C59" s="154"/>
      <c r="D59" s="149" t="str">
        <f t="shared" si="0"/>
        <v/>
      </c>
      <c r="E59" s="201"/>
      <c r="F59" s="149" t="str">
        <f t="shared" si="1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2"/>
        <v/>
      </c>
      <c r="C60" s="154"/>
      <c r="D60" s="149" t="str">
        <f t="shared" si="0"/>
        <v/>
      </c>
      <c r="E60" s="201"/>
      <c r="F60" s="149" t="str">
        <f t="shared" si="1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2"/>
        <v/>
      </c>
      <c r="C61" s="154"/>
      <c r="D61" s="149" t="str">
        <f t="shared" si="0"/>
        <v/>
      </c>
      <c r="E61" s="201"/>
      <c r="F61" s="149" t="str">
        <f t="shared" si="1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2"/>
        <v/>
      </c>
      <c r="C62" s="154"/>
      <c r="D62" s="149" t="str">
        <f t="shared" si="0"/>
        <v/>
      </c>
      <c r="E62" s="201"/>
      <c r="F62" s="149" t="str">
        <f t="shared" si="1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2"/>
        <v/>
      </c>
      <c r="C63" s="154"/>
      <c r="D63" s="149" t="str">
        <f t="shared" si="0"/>
        <v/>
      </c>
      <c r="E63" s="201"/>
      <c r="F63" s="149" t="str">
        <f t="shared" si="1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2"/>
        <v/>
      </c>
      <c r="C64" s="154"/>
      <c r="D64" s="149" t="str">
        <f t="shared" si="0"/>
        <v/>
      </c>
      <c r="E64" s="201"/>
      <c r="F64" s="149" t="str">
        <f t="shared" si="1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2"/>
        <v/>
      </c>
      <c r="C65" s="154"/>
      <c r="D65" s="149" t="str">
        <f t="shared" si="0"/>
        <v/>
      </c>
      <c r="E65" s="201"/>
      <c r="F65" s="149" t="str">
        <f t="shared" si="1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2"/>
        <v/>
      </c>
      <c r="C66" s="154"/>
      <c r="D66" s="149" t="str">
        <f t="shared" si="0"/>
        <v/>
      </c>
      <c r="E66" s="201"/>
      <c r="F66" s="149" t="str">
        <f t="shared" si="1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2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ref="F67:F130" si="8">IFERROR(VLOOKUP(E67,$AA$6:$AB$200,2,FALSE),"")</f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9">IFERROR(VLOOKUP(A68,$R$6:$S$18,2,FALSE),"")</f>
        <v/>
      </c>
      <c r="C68" s="154"/>
      <c r="D68" s="149" t="str">
        <f t="shared" si="7"/>
        <v/>
      </c>
      <c r="E68" s="201"/>
      <c r="F68" s="149" t="str">
        <f t="shared" si="8"/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9"/>
        <v/>
      </c>
      <c r="C69" s="154"/>
      <c r="D69" s="149" t="str">
        <f t="shared" si="7"/>
        <v/>
      </c>
      <c r="E69" s="201"/>
      <c r="F69" s="149" t="str">
        <f t="shared" si="8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9"/>
        <v/>
      </c>
      <c r="C70" s="154"/>
      <c r="D70" s="149" t="str">
        <f t="shared" si="7"/>
        <v/>
      </c>
      <c r="E70" s="201"/>
      <c r="F70" s="149" t="str">
        <f t="shared" si="8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9"/>
        <v/>
      </c>
      <c r="C71" s="154"/>
      <c r="D71" s="149" t="str">
        <f t="shared" si="7"/>
        <v/>
      </c>
      <c r="E71" s="201"/>
      <c r="F71" s="149" t="str">
        <f t="shared" si="8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9"/>
        <v/>
      </c>
      <c r="C72" s="154"/>
      <c r="D72" s="149" t="str">
        <f t="shared" si="7"/>
        <v/>
      </c>
      <c r="E72" s="201"/>
      <c r="F72" s="149" t="str">
        <f t="shared" si="8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9"/>
        <v/>
      </c>
      <c r="C73" s="154"/>
      <c r="D73" s="149" t="str">
        <f t="shared" si="7"/>
        <v/>
      </c>
      <c r="E73" s="201"/>
      <c r="F73" s="149" t="str">
        <f t="shared" si="8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9"/>
        <v/>
      </c>
      <c r="C74" s="154"/>
      <c r="D74" s="149" t="str">
        <f t="shared" si="7"/>
        <v/>
      </c>
      <c r="E74" s="201"/>
      <c r="F74" s="149" t="str">
        <f t="shared" si="8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9"/>
        <v/>
      </c>
      <c r="C75" s="154"/>
      <c r="D75" s="149" t="str">
        <f t="shared" si="7"/>
        <v/>
      </c>
      <c r="E75" s="201"/>
      <c r="F75" s="149" t="str">
        <f t="shared" si="8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9"/>
        <v/>
      </c>
      <c r="C76" s="154"/>
      <c r="D76" s="149" t="str">
        <f t="shared" si="7"/>
        <v/>
      </c>
      <c r="E76" s="201"/>
      <c r="F76" s="149" t="str">
        <f t="shared" si="8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9"/>
        <v/>
      </c>
      <c r="C77" s="154"/>
      <c r="D77" s="149" t="str">
        <f t="shared" si="7"/>
        <v/>
      </c>
      <c r="E77" s="201"/>
      <c r="F77" s="149" t="str">
        <f t="shared" si="8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9"/>
        <v/>
      </c>
      <c r="C78" s="154"/>
      <c r="D78" s="149" t="str">
        <f t="shared" si="7"/>
        <v/>
      </c>
      <c r="E78" s="201"/>
      <c r="F78" s="149" t="str">
        <f t="shared" si="8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9"/>
        <v/>
      </c>
      <c r="C79" s="154"/>
      <c r="D79" s="149" t="str">
        <f t="shared" si="7"/>
        <v/>
      </c>
      <c r="E79" s="201"/>
      <c r="F79" s="149" t="str">
        <f t="shared" si="8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9"/>
        <v/>
      </c>
      <c r="C80" s="154"/>
      <c r="D80" s="149" t="str">
        <f t="shared" si="7"/>
        <v/>
      </c>
      <c r="E80" s="201"/>
      <c r="F80" s="149" t="str">
        <f t="shared" si="8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9"/>
        <v/>
      </c>
      <c r="C81" s="154"/>
      <c r="D81" s="149" t="str">
        <f t="shared" si="7"/>
        <v/>
      </c>
      <c r="E81" s="201"/>
      <c r="F81" s="149" t="str">
        <f t="shared" si="8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9"/>
        <v/>
      </c>
      <c r="C82" s="154"/>
      <c r="D82" s="149" t="str">
        <f t="shared" si="7"/>
        <v/>
      </c>
      <c r="E82" s="201"/>
      <c r="F82" s="149" t="str">
        <f t="shared" si="8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9"/>
        <v/>
      </c>
      <c r="C83" s="154"/>
      <c r="D83" s="149" t="str">
        <f t="shared" si="7"/>
        <v/>
      </c>
      <c r="E83" s="201"/>
      <c r="F83" s="149" t="str">
        <f t="shared" si="8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9"/>
        <v/>
      </c>
      <c r="C84" s="154"/>
      <c r="D84" s="149" t="str">
        <f t="shared" si="7"/>
        <v/>
      </c>
      <c r="E84" s="201"/>
      <c r="F84" s="149" t="str">
        <f t="shared" si="8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9"/>
        <v/>
      </c>
      <c r="C85" s="154"/>
      <c r="D85" s="149" t="str">
        <f t="shared" si="7"/>
        <v/>
      </c>
      <c r="E85" s="201"/>
      <c r="F85" s="149" t="str">
        <f t="shared" si="8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9"/>
        <v/>
      </c>
      <c r="C86" s="154"/>
      <c r="D86" s="149" t="str">
        <f t="shared" si="7"/>
        <v/>
      </c>
      <c r="E86" s="201"/>
      <c r="F86" s="149" t="str">
        <f t="shared" si="8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9"/>
        <v/>
      </c>
      <c r="C87" s="154"/>
      <c r="D87" s="149" t="str">
        <f t="shared" si="7"/>
        <v/>
      </c>
      <c r="E87" s="201"/>
      <c r="F87" s="149" t="str">
        <f t="shared" si="8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9"/>
        <v/>
      </c>
      <c r="C88" s="154"/>
      <c r="D88" s="149" t="str">
        <f t="shared" si="7"/>
        <v/>
      </c>
      <c r="E88" s="201"/>
      <c r="F88" s="149" t="str">
        <f t="shared" si="8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9"/>
        <v/>
      </c>
      <c r="C89" s="154"/>
      <c r="D89" s="149" t="str">
        <f t="shared" si="7"/>
        <v/>
      </c>
      <c r="E89" s="201"/>
      <c r="F89" s="149" t="str">
        <f t="shared" si="8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9"/>
        <v/>
      </c>
      <c r="C90" s="154"/>
      <c r="D90" s="149" t="str">
        <f t="shared" si="7"/>
        <v/>
      </c>
      <c r="E90" s="201"/>
      <c r="F90" s="149" t="str">
        <f t="shared" si="8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9"/>
        <v/>
      </c>
      <c r="C91" s="154"/>
      <c r="D91" s="149" t="str">
        <f t="shared" si="7"/>
        <v/>
      </c>
      <c r="E91" s="201"/>
      <c r="F91" s="149" t="str">
        <f t="shared" si="8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9"/>
        <v/>
      </c>
      <c r="C92" s="154"/>
      <c r="D92" s="149" t="str">
        <f t="shared" si="7"/>
        <v/>
      </c>
      <c r="E92" s="201"/>
      <c r="F92" s="149" t="str">
        <f t="shared" si="8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9"/>
        <v/>
      </c>
      <c r="C93" s="154"/>
      <c r="D93" s="149" t="str">
        <f t="shared" si="7"/>
        <v/>
      </c>
      <c r="E93" s="201"/>
      <c r="F93" s="149" t="str">
        <f t="shared" si="8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9"/>
        <v/>
      </c>
      <c r="C94" s="154"/>
      <c r="D94" s="149" t="str">
        <f t="shared" si="7"/>
        <v/>
      </c>
      <c r="E94" s="201"/>
      <c r="F94" s="149" t="str">
        <f t="shared" si="8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9"/>
        <v/>
      </c>
      <c r="C95" s="154"/>
      <c r="D95" s="149" t="str">
        <f t="shared" si="7"/>
        <v/>
      </c>
      <c r="E95" s="201"/>
      <c r="F95" s="149" t="str">
        <f t="shared" si="8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9"/>
        <v/>
      </c>
      <c r="C96" s="154"/>
      <c r="D96" s="149" t="str">
        <f t="shared" si="7"/>
        <v/>
      </c>
      <c r="E96" s="201"/>
      <c r="F96" s="149" t="str">
        <f t="shared" si="8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9"/>
        <v/>
      </c>
      <c r="C97" s="154"/>
      <c r="D97" s="149" t="str">
        <f t="shared" si="7"/>
        <v/>
      </c>
      <c r="E97" s="201"/>
      <c r="F97" s="149" t="str">
        <f t="shared" si="8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9"/>
        <v/>
      </c>
      <c r="C98" s="154"/>
      <c r="D98" s="149" t="str">
        <f t="shared" si="7"/>
        <v/>
      </c>
      <c r="E98" s="201"/>
      <c r="F98" s="149" t="str">
        <f t="shared" si="8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9"/>
        <v/>
      </c>
      <c r="C99" s="154"/>
      <c r="D99" s="149" t="str">
        <f t="shared" si="7"/>
        <v/>
      </c>
      <c r="E99" s="201"/>
      <c r="F99" s="149" t="str">
        <f t="shared" si="8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9"/>
        <v/>
      </c>
      <c r="C100" s="154"/>
      <c r="D100" s="149" t="str">
        <f t="shared" si="7"/>
        <v/>
      </c>
      <c r="E100" s="201"/>
      <c r="F100" s="149" t="str">
        <f t="shared" si="8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9"/>
        <v/>
      </c>
      <c r="C101" s="154"/>
      <c r="D101" s="149" t="str">
        <f t="shared" si="7"/>
        <v/>
      </c>
      <c r="E101" s="201"/>
      <c r="F101" s="149" t="str">
        <f t="shared" si="8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9"/>
        <v/>
      </c>
      <c r="C102" s="154"/>
      <c r="D102" s="149" t="str">
        <f t="shared" si="7"/>
        <v/>
      </c>
      <c r="E102" s="201"/>
      <c r="F102" s="149" t="str">
        <f t="shared" si="8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9"/>
        <v/>
      </c>
      <c r="C103" s="154"/>
      <c r="D103" s="149" t="str">
        <f t="shared" si="7"/>
        <v/>
      </c>
      <c r="E103" s="201"/>
      <c r="F103" s="149" t="str">
        <f t="shared" si="8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9"/>
        <v/>
      </c>
      <c r="C104" s="154"/>
      <c r="D104" s="149" t="str">
        <f t="shared" si="7"/>
        <v/>
      </c>
      <c r="E104" s="201"/>
      <c r="F104" s="149" t="str">
        <f t="shared" si="8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9"/>
        <v/>
      </c>
      <c r="C105" s="154"/>
      <c r="D105" s="149" t="str">
        <f t="shared" si="7"/>
        <v/>
      </c>
      <c r="E105" s="201"/>
      <c r="F105" s="149" t="str">
        <f t="shared" si="8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9"/>
        <v/>
      </c>
      <c r="C106" s="154"/>
      <c r="D106" s="149" t="str">
        <f t="shared" si="7"/>
        <v/>
      </c>
      <c r="E106" s="201"/>
      <c r="F106" s="149" t="str">
        <f t="shared" si="8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9"/>
        <v/>
      </c>
      <c r="C107" s="154"/>
      <c r="D107" s="149" t="str">
        <f t="shared" si="7"/>
        <v/>
      </c>
      <c r="E107" s="201"/>
      <c r="F107" s="149" t="str">
        <f t="shared" si="8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9"/>
        <v/>
      </c>
      <c r="C108" s="154"/>
      <c r="D108" s="149" t="str">
        <f t="shared" si="7"/>
        <v/>
      </c>
      <c r="E108" s="201"/>
      <c r="F108" s="149" t="str">
        <f t="shared" si="8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9"/>
        <v/>
      </c>
      <c r="C109" s="154"/>
      <c r="D109" s="149" t="str">
        <f t="shared" si="7"/>
        <v/>
      </c>
      <c r="E109" s="201"/>
      <c r="F109" s="149" t="str">
        <f t="shared" si="8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9"/>
        <v/>
      </c>
      <c r="C110" s="154"/>
      <c r="D110" s="149" t="str">
        <f t="shared" si="7"/>
        <v/>
      </c>
      <c r="E110" s="201"/>
      <c r="F110" s="149" t="str">
        <f t="shared" si="8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9"/>
        <v/>
      </c>
      <c r="C111" s="154"/>
      <c r="D111" s="149" t="str">
        <f t="shared" si="7"/>
        <v/>
      </c>
      <c r="E111" s="201"/>
      <c r="F111" s="149" t="str">
        <f t="shared" si="8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9"/>
        <v/>
      </c>
      <c r="C112" s="154"/>
      <c r="D112" s="149" t="str">
        <f t="shared" si="7"/>
        <v/>
      </c>
      <c r="E112" s="201"/>
      <c r="F112" s="149" t="str">
        <f t="shared" si="8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9"/>
        <v/>
      </c>
      <c r="C113" s="154"/>
      <c r="D113" s="149" t="str">
        <f t="shared" si="7"/>
        <v/>
      </c>
      <c r="E113" s="201"/>
      <c r="F113" s="149" t="str">
        <f t="shared" si="8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9"/>
        <v/>
      </c>
      <c r="C114" s="154"/>
      <c r="D114" s="149" t="str">
        <f t="shared" si="7"/>
        <v/>
      </c>
      <c r="E114" s="201"/>
      <c r="F114" s="149" t="str">
        <f t="shared" si="8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9"/>
        <v/>
      </c>
      <c r="C115" s="154"/>
      <c r="D115" s="149" t="str">
        <f t="shared" si="7"/>
        <v/>
      </c>
      <c r="E115" s="201"/>
      <c r="F115" s="149" t="str">
        <f t="shared" si="8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9"/>
        <v/>
      </c>
      <c r="C116" s="154"/>
      <c r="D116" s="149" t="str">
        <f t="shared" si="7"/>
        <v/>
      </c>
      <c r="E116" s="201"/>
      <c r="F116" s="149" t="str">
        <f t="shared" si="8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9"/>
        <v/>
      </c>
      <c r="C117" s="154"/>
      <c r="D117" s="149" t="str">
        <f t="shared" si="7"/>
        <v/>
      </c>
      <c r="E117" s="201"/>
      <c r="F117" s="149" t="str">
        <f t="shared" si="8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9"/>
        <v/>
      </c>
      <c r="C118" s="154"/>
      <c r="D118" s="149" t="str">
        <f t="shared" si="7"/>
        <v/>
      </c>
      <c r="E118" s="201"/>
      <c r="F118" s="149" t="str">
        <f t="shared" si="8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9"/>
        <v/>
      </c>
      <c r="C119" s="154"/>
      <c r="D119" s="149" t="str">
        <f t="shared" si="7"/>
        <v/>
      </c>
      <c r="E119" s="201"/>
      <c r="F119" s="149" t="str">
        <f t="shared" si="8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9"/>
        <v/>
      </c>
      <c r="C120" s="154"/>
      <c r="D120" s="149" t="str">
        <f t="shared" si="7"/>
        <v/>
      </c>
      <c r="E120" s="201"/>
      <c r="F120" s="149" t="str">
        <f t="shared" si="8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9"/>
        <v/>
      </c>
      <c r="C121" s="154"/>
      <c r="D121" s="149" t="str">
        <f t="shared" si="7"/>
        <v/>
      </c>
      <c r="E121" s="201"/>
      <c r="F121" s="149" t="str">
        <f t="shared" si="8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9"/>
        <v/>
      </c>
      <c r="C122" s="154"/>
      <c r="D122" s="149" t="str">
        <f t="shared" si="7"/>
        <v/>
      </c>
      <c r="E122" s="201"/>
      <c r="F122" s="149" t="str">
        <f t="shared" si="8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9"/>
        <v/>
      </c>
      <c r="C123" s="154"/>
      <c r="D123" s="149" t="str">
        <f t="shared" si="7"/>
        <v/>
      </c>
      <c r="E123" s="201"/>
      <c r="F123" s="149" t="str">
        <f t="shared" si="8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9"/>
        <v/>
      </c>
      <c r="C124" s="154"/>
      <c r="D124" s="149" t="str">
        <f t="shared" si="7"/>
        <v/>
      </c>
      <c r="E124" s="201"/>
      <c r="F124" s="149" t="str">
        <f t="shared" si="8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9"/>
        <v/>
      </c>
      <c r="C125" s="154"/>
      <c r="D125" s="149" t="str">
        <f t="shared" si="7"/>
        <v/>
      </c>
      <c r="E125" s="201"/>
      <c r="F125" s="149" t="str">
        <f t="shared" si="8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9"/>
        <v/>
      </c>
      <c r="C126" s="154"/>
      <c r="D126" s="149" t="str">
        <f t="shared" si="7"/>
        <v/>
      </c>
      <c r="E126" s="201"/>
      <c r="F126" s="149" t="str">
        <f t="shared" si="8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9"/>
        <v/>
      </c>
      <c r="C127" s="154"/>
      <c r="D127" s="149" t="str">
        <f t="shared" si="7"/>
        <v/>
      </c>
      <c r="E127" s="201"/>
      <c r="F127" s="149" t="str">
        <f t="shared" si="8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9"/>
        <v/>
      </c>
      <c r="C128" s="154"/>
      <c r="D128" s="149" t="str">
        <f t="shared" si="7"/>
        <v/>
      </c>
      <c r="E128" s="201"/>
      <c r="F128" s="149" t="str">
        <f t="shared" si="8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9"/>
        <v/>
      </c>
      <c r="C129" s="154"/>
      <c r="D129" s="149" t="str">
        <f t="shared" si="7"/>
        <v/>
      </c>
      <c r="E129" s="201"/>
      <c r="F129" s="149" t="str">
        <f t="shared" si="8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9"/>
        <v/>
      </c>
      <c r="C130" s="154"/>
      <c r="D130" s="149" t="str">
        <f t="shared" si="7"/>
        <v/>
      </c>
      <c r="E130" s="201"/>
      <c r="F130" s="149" t="str">
        <f t="shared" si="8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9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ref="F131:F194" si="15">IFERROR(VLOOKUP(E131,$AA$6:$AB$200,2,FALSE),"")</f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6">IFERROR(VLOOKUP(A132,$R$6:$S$18,2,FALSE),"")</f>
        <v/>
      </c>
      <c r="C132" s="154"/>
      <c r="D132" s="149" t="str">
        <f t="shared" si="14"/>
        <v/>
      </c>
      <c r="E132" s="201"/>
      <c r="F132" s="149" t="str">
        <f t="shared" si="15"/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6"/>
        <v/>
      </c>
      <c r="C133" s="154"/>
      <c r="D133" s="149" t="str">
        <f t="shared" si="14"/>
        <v/>
      </c>
      <c r="E133" s="201"/>
      <c r="F133" s="149" t="str">
        <f t="shared" si="15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6"/>
        <v/>
      </c>
      <c r="C134" s="154"/>
      <c r="D134" s="149" t="str">
        <f t="shared" si="14"/>
        <v/>
      </c>
      <c r="E134" s="201"/>
      <c r="F134" s="149" t="str">
        <f t="shared" si="15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6"/>
        <v/>
      </c>
      <c r="C135" s="154"/>
      <c r="D135" s="149" t="str">
        <f t="shared" si="14"/>
        <v/>
      </c>
      <c r="E135" s="201"/>
      <c r="F135" s="149" t="str">
        <f t="shared" si="15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6"/>
        <v/>
      </c>
      <c r="C136" s="154"/>
      <c r="D136" s="149" t="str">
        <f t="shared" si="14"/>
        <v/>
      </c>
      <c r="E136" s="201"/>
      <c r="F136" s="149" t="str">
        <f t="shared" si="15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6"/>
        <v/>
      </c>
      <c r="C137" s="154"/>
      <c r="D137" s="149" t="str">
        <f t="shared" si="14"/>
        <v/>
      </c>
      <c r="E137" s="201"/>
      <c r="F137" s="149" t="str">
        <f t="shared" si="15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6"/>
        <v/>
      </c>
      <c r="C138" s="154"/>
      <c r="D138" s="149" t="str">
        <f t="shared" si="14"/>
        <v/>
      </c>
      <c r="E138" s="201"/>
      <c r="F138" s="149" t="str">
        <f t="shared" si="15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6"/>
        <v/>
      </c>
      <c r="C139" s="154"/>
      <c r="D139" s="149" t="str">
        <f t="shared" si="14"/>
        <v/>
      </c>
      <c r="E139" s="201"/>
      <c r="F139" s="149" t="str">
        <f t="shared" si="15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6"/>
        <v/>
      </c>
      <c r="C140" s="154"/>
      <c r="D140" s="149" t="str">
        <f t="shared" si="14"/>
        <v/>
      </c>
      <c r="E140" s="201"/>
      <c r="F140" s="149" t="str">
        <f t="shared" si="15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6"/>
        <v/>
      </c>
      <c r="C141" s="154"/>
      <c r="D141" s="149" t="str">
        <f t="shared" si="14"/>
        <v/>
      </c>
      <c r="E141" s="201"/>
      <c r="F141" s="149" t="str">
        <f t="shared" si="15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6"/>
        <v/>
      </c>
      <c r="C142" s="154"/>
      <c r="D142" s="149" t="str">
        <f t="shared" si="14"/>
        <v/>
      </c>
      <c r="E142" s="201"/>
      <c r="F142" s="149" t="str">
        <f t="shared" si="15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6"/>
        <v/>
      </c>
      <c r="C143" s="154"/>
      <c r="D143" s="149" t="str">
        <f t="shared" si="14"/>
        <v/>
      </c>
      <c r="E143" s="201"/>
      <c r="F143" s="149" t="str">
        <f t="shared" si="15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6"/>
        <v/>
      </c>
      <c r="C144" s="154"/>
      <c r="D144" s="149" t="str">
        <f t="shared" si="14"/>
        <v/>
      </c>
      <c r="E144" s="201"/>
      <c r="F144" s="149" t="str">
        <f t="shared" si="15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6"/>
        <v/>
      </c>
      <c r="C145" s="154"/>
      <c r="D145" s="149" t="str">
        <f t="shared" si="14"/>
        <v/>
      </c>
      <c r="E145" s="201"/>
      <c r="F145" s="149" t="str">
        <f t="shared" si="15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6"/>
        <v/>
      </c>
      <c r="C146" s="154"/>
      <c r="D146" s="149" t="str">
        <f t="shared" si="14"/>
        <v/>
      </c>
      <c r="E146" s="201"/>
      <c r="F146" s="149" t="str">
        <f t="shared" si="15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6"/>
        <v/>
      </c>
      <c r="C147" s="154"/>
      <c r="D147" s="149" t="str">
        <f t="shared" si="14"/>
        <v/>
      </c>
      <c r="E147" s="201"/>
      <c r="F147" s="149" t="str">
        <f t="shared" si="15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6"/>
        <v/>
      </c>
      <c r="C148" s="154"/>
      <c r="D148" s="149" t="str">
        <f t="shared" si="14"/>
        <v/>
      </c>
      <c r="E148" s="201"/>
      <c r="F148" s="149" t="str">
        <f t="shared" si="15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6"/>
        <v/>
      </c>
      <c r="C149" s="154"/>
      <c r="D149" s="149" t="str">
        <f t="shared" si="14"/>
        <v/>
      </c>
      <c r="E149" s="201"/>
      <c r="F149" s="149" t="str">
        <f t="shared" si="15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6"/>
        <v/>
      </c>
      <c r="C150" s="154"/>
      <c r="D150" s="149" t="str">
        <f t="shared" si="14"/>
        <v/>
      </c>
      <c r="E150" s="201"/>
      <c r="F150" s="149" t="str">
        <f t="shared" si="15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6"/>
        <v/>
      </c>
      <c r="C151" s="154"/>
      <c r="D151" s="149" t="str">
        <f t="shared" si="14"/>
        <v/>
      </c>
      <c r="E151" s="201"/>
      <c r="F151" s="149" t="str">
        <f t="shared" si="15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6"/>
        <v/>
      </c>
      <c r="C152" s="154"/>
      <c r="D152" s="149" t="str">
        <f t="shared" si="14"/>
        <v/>
      </c>
      <c r="E152" s="201"/>
      <c r="F152" s="149" t="str">
        <f t="shared" si="15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6"/>
        <v/>
      </c>
      <c r="C153" s="154"/>
      <c r="D153" s="149" t="str">
        <f t="shared" si="14"/>
        <v/>
      </c>
      <c r="E153" s="201"/>
      <c r="F153" s="149" t="str">
        <f t="shared" si="15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6"/>
        <v/>
      </c>
      <c r="C154" s="154"/>
      <c r="D154" s="149" t="str">
        <f t="shared" si="14"/>
        <v/>
      </c>
      <c r="E154" s="201"/>
      <c r="F154" s="149" t="str">
        <f t="shared" si="15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6"/>
        <v/>
      </c>
      <c r="C155" s="154"/>
      <c r="D155" s="149" t="str">
        <f t="shared" si="14"/>
        <v/>
      </c>
      <c r="E155" s="201"/>
      <c r="F155" s="149" t="str">
        <f t="shared" si="15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6"/>
        <v/>
      </c>
      <c r="C156" s="154"/>
      <c r="D156" s="149" t="str">
        <f t="shared" si="14"/>
        <v/>
      </c>
      <c r="E156" s="201"/>
      <c r="F156" s="149" t="str">
        <f t="shared" si="15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6"/>
        <v/>
      </c>
      <c r="C157" s="154"/>
      <c r="D157" s="149" t="str">
        <f t="shared" si="14"/>
        <v/>
      </c>
      <c r="E157" s="201"/>
      <c r="F157" s="149" t="str">
        <f t="shared" si="15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6"/>
        <v/>
      </c>
      <c r="C158" s="154"/>
      <c r="D158" s="149" t="str">
        <f t="shared" si="14"/>
        <v/>
      </c>
      <c r="E158" s="201"/>
      <c r="F158" s="149" t="str">
        <f t="shared" si="15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6"/>
        <v/>
      </c>
      <c r="C159" s="154"/>
      <c r="D159" s="149" t="str">
        <f t="shared" si="14"/>
        <v/>
      </c>
      <c r="E159" s="201"/>
      <c r="F159" s="149" t="str">
        <f t="shared" si="15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6"/>
        <v/>
      </c>
      <c r="C160" s="154"/>
      <c r="D160" s="149" t="str">
        <f t="shared" si="14"/>
        <v/>
      </c>
      <c r="E160" s="201"/>
      <c r="F160" s="149" t="str">
        <f t="shared" si="15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6"/>
        <v/>
      </c>
      <c r="C161" s="154"/>
      <c r="D161" s="149" t="str">
        <f t="shared" si="14"/>
        <v/>
      </c>
      <c r="E161" s="201"/>
      <c r="F161" s="149" t="str">
        <f t="shared" si="15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6"/>
        <v/>
      </c>
      <c r="C162" s="154"/>
      <c r="D162" s="149" t="str">
        <f t="shared" si="14"/>
        <v/>
      </c>
      <c r="E162" s="201"/>
      <c r="F162" s="149" t="str">
        <f t="shared" si="15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6"/>
        <v/>
      </c>
      <c r="C163" s="154"/>
      <c r="D163" s="149" t="str">
        <f t="shared" si="14"/>
        <v/>
      </c>
      <c r="E163" s="201"/>
      <c r="F163" s="149" t="str">
        <f t="shared" si="15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6"/>
        <v/>
      </c>
      <c r="C164" s="154"/>
      <c r="D164" s="149" t="str">
        <f t="shared" si="14"/>
        <v/>
      </c>
      <c r="E164" s="201"/>
      <c r="F164" s="149" t="str">
        <f t="shared" si="15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6"/>
        <v/>
      </c>
      <c r="C165" s="154"/>
      <c r="D165" s="149" t="str">
        <f t="shared" si="14"/>
        <v/>
      </c>
      <c r="E165" s="201"/>
      <c r="F165" s="149" t="str">
        <f t="shared" si="15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6"/>
        <v/>
      </c>
      <c r="C166" s="154"/>
      <c r="D166" s="149" t="str">
        <f t="shared" si="14"/>
        <v/>
      </c>
      <c r="E166" s="201"/>
      <c r="F166" s="149" t="str">
        <f t="shared" si="15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6"/>
        <v/>
      </c>
      <c r="C167" s="154"/>
      <c r="D167" s="149" t="str">
        <f t="shared" si="14"/>
        <v/>
      </c>
      <c r="E167" s="201"/>
      <c r="F167" s="149" t="str">
        <f t="shared" si="15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6"/>
        <v/>
      </c>
      <c r="C168" s="154"/>
      <c r="D168" s="149" t="str">
        <f t="shared" si="14"/>
        <v/>
      </c>
      <c r="E168" s="201"/>
      <c r="F168" s="149" t="str">
        <f t="shared" si="15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6"/>
        <v/>
      </c>
      <c r="C169" s="154"/>
      <c r="D169" s="149" t="str">
        <f t="shared" si="14"/>
        <v/>
      </c>
      <c r="E169" s="201"/>
      <c r="F169" s="149" t="str">
        <f t="shared" si="15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6"/>
        <v/>
      </c>
      <c r="C170" s="154"/>
      <c r="D170" s="149" t="str">
        <f t="shared" si="14"/>
        <v/>
      </c>
      <c r="E170" s="201"/>
      <c r="F170" s="149" t="str">
        <f t="shared" si="15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6"/>
        <v/>
      </c>
      <c r="C171" s="154"/>
      <c r="D171" s="149" t="str">
        <f t="shared" si="14"/>
        <v/>
      </c>
      <c r="E171" s="201"/>
      <c r="F171" s="149" t="str">
        <f t="shared" si="15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6"/>
        <v/>
      </c>
      <c r="C172" s="154"/>
      <c r="D172" s="149" t="str">
        <f t="shared" si="14"/>
        <v/>
      </c>
      <c r="E172" s="201"/>
      <c r="F172" s="149" t="str">
        <f t="shared" si="15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6"/>
        <v/>
      </c>
      <c r="C173" s="154"/>
      <c r="D173" s="149" t="str">
        <f t="shared" si="14"/>
        <v/>
      </c>
      <c r="E173" s="201"/>
      <c r="F173" s="149" t="str">
        <f t="shared" si="15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6"/>
        <v/>
      </c>
      <c r="C174" s="154"/>
      <c r="D174" s="149" t="str">
        <f t="shared" si="14"/>
        <v/>
      </c>
      <c r="E174" s="201"/>
      <c r="F174" s="149" t="str">
        <f t="shared" si="15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6"/>
        <v/>
      </c>
      <c r="C175" s="154"/>
      <c r="D175" s="149" t="str">
        <f t="shared" si="14"/>
        <v/>
      </c>
      <c r="E175" s="201"/>
      <c r="F175" s="149" t="str">
        <f t="shared" si="15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6"/>
        <v/>
      </c>
      <c r="C176" s="154"/>
      <c r="D176" s="149" t="str">
        <f t="shared" si="14"/>
        <v/>
      </c>
      <c r="E176" s="201"/>
      <c r="F176" s="149" t="str">
        <f t="shared" si="15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6"/>
        <v/>
      </c>
      <c r="C177" s="154"/>
      <c r="D177" s="149" t="str">
        <f t="shared" si="14"/>
        <v/>
      </c>
      <c r="E177" s="201"/>
      <c r="F177" s="149" t="str">
        <f t="shared" si="15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6"/>
        <v/>
      </c>
      <c r="C178" s="154"/>
      <c r="D178" s="149" t="str">
        <f t="shared" si="14"/>
        <v/>
      </c>
      <c r="E178" s="201"/>
      <c r="F178" s="149" t="str">
        <f t="shared" si="15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6"/>
        <v/>
      </c>
      <c r="C179" s="154"/>
      <c r="D179" s="149" t="str">
        <f t="shared" si="14"/>
        <v/>
      </c>
      <c r="E179" s="201"/>
      <c r="F179" s="149" t="str">
        <f t="shared" si="15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6"/>
        <v/>
      </c>
      <c r="C180" s="154"/>
      <c r="D180" s="149" t="str">
        <f t="shared" si="14"/>
        <v/>
      </c>
      <c r="E180" s="201"/>
      <c r="F180" s="149" t="str">
        <f t="shared" si="15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6"/>
        <v/>
      </c>
      <c r="C181" s="154"/>
      <c r="D181" s="149" t="str">
        <f t="shared" si="14"/>
        <v/>
      </c>
      <c r="E181" s="201"/>
      <c r="F181" s="149" t="str">
        <f t="shared" si="15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6"/>
        <v/>
      </c>
      <c r="C182" s="154"/>
      <c r="D182" s="149" t="str">
        <f t="shared" si="14"/>
        <v/>
      </c>
      <c r="E182" s="201"/>
      <c r="F182" s="149" t="str">
        <f t="shared" si="15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6"/>
        <v/>
      </c>
      <c r="C183" s="154"/>
      <c r="D183" s="149" t="str">
        <f t="shared" si="14"/>
        <v/>
      </c>
      <c r="E183" s="201"/>
      <c r="F183" s="149" t="str">
        <f t="shared" si="15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6"/>
        <v/>
      </c>
      <c r="C184" s="154"/>
      <c r="D184" s="149" t="str">
        <f t="shared" si="14"/>
        <v/>
      </c>
      <c r="E184" s="201"/>
      <c r="F184" s="149" t="str">
        <f t="shared" si="15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6"/>
        <v/>
      </c>
      <c r="C185" s="154"/>
      <c r="D185" s="149" t="str">
        <f t="shared" si="14"/>
        <v/>
      </c>
      <c r="E185" s="201"/>
      <c r="F185" s="149" t="str">
        <f t="shared" si="15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6"/>
        <v/>
      </c>
      <c r="C186" s="154"/>
      <c r="D186" s="149" t="str">
        <f t="shared" si="14"/>
        <v/>
      </c>
      <c r="E186" s="201"/>
      <c r="F186" s="149" t="str">
        <f t="shared" si="15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6"/>
        <v/>
      </c>
      <c r="C187" s="154"/>
      <c r="D187" s="149" t="str">
        <f t="shared" si="14"/>
        <v/>
      </c>
      <c r="E187" s="201"/>
      <c r="F187" s="149" t="str">
        <f t="shared" si="15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6"/>
        <v/>
      </c>
      <c r="C188" s="154"/>
      <c r="D188" s="149" t="str">
        <f t="shared" si="14"/>
        <v/>
      </c>
      <c r="E188" s="201"/>
      <c r="F188" s="149" t="str">
        <f t="shared" si="15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6"/>
        <v/>
      </c>
      <c r="C189" s="154"/>
      <c r="D189" s="149" t="str">
        <f t="shared" si="14"/>
        <v/>
      </c>
      <c r="E189" s="201"/>
      <c r="F189" s="149" t="str">
        <f t="shared" si="15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6"/>
        <v/>
      </c>
      <c r="C190" s="154"/>
      <c r="D190" s="149" t="str">
        <f t="shared" si="14"/>
        <v/>
      </c>
      <c r="E190" s="201"/>
      <c r="F190" s="149" t="str">
        <f t="shared" si="15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6"/>
        <v/>
      </c>
      <c r="C191" s="154"/>
      <c r="D191" s="149" t="str">
        <f t="shared" si="14"/>
        <v/>
      </c>
      <c r="E191" s="201"/>
      <c r="F191" s="149" t="str">
        <f t="shared" si="15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6"/>
        <v/>
      </c>
      <c r="C192" s="154"/>
      <c r="D192" s="149" t="str">
        <f t="shared" si="14"/>
        <v/>
      </c>
      <c r="E192" s="201"/>
      <c r="F192" s="149" t="str">
        <f t="shared" si="15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6"/>
        <v/>
      </c>
      <c r="C193" s="154"/>
      <c r="D193" s="149" t="str">
        <f t="shared" si="14"/>
        <v/>
      </c>
      <c r="E193" s="201"/>
      <c r="F193" s="149" t="str">
        <f t="shared" si="15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6"/>
        <v/>
      </c>
      <c r="C194" s="154"/>
      <c r="D194" s="149" t="str">
        <f t="shared" si="14"/>
        <v/>
      </c>
      <c r="E194" s="201"/>
      <c r="F194" s="149" t="str">
        <f t="shared" si="15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6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ref="F195:F258" si="20">IFERROR(VLOOKUP(E195,$AA$6:$AB$200,2,FALSE),"")</f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1">IFERROR(VLOOKUP(A196,$R$6:$S$18,2,FALSE),"")</f>
        <v/>
      </c>
      <c r="C196" s="154"/>
      <c r="D196" s="149" t="str">
        <f t="shared" si="19"/>
        <v/>
      </c>
      <c r="E196" s="201"/>
      <c r="F196" s="149" t="str">
        <f t="shared" si="20"/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1"/>
        <v/>
      </c>
      <c r="C197" s="154"/>
      <c r="D197" s="149" t="str">
        <f t="shared" si="19"/>
        <v/>
      </c>
      <c r="E197" s="201"/>
      <c r="F197" s="149" t="str">
        <f t="shared" si="20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1"/>
        <v/>
      </c>
      <c r="C198" s="154"/>
      <c r="D198" s="149" t="str">
        <f t="shared" si="19"/>
        <v/>
      </c>
      <c r="E198" s="201"/>
      <c r="F198" s="149" t="str">
        <f t="shared" si="20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1"/>
        <v/>
      </c>
      <c r="C199" s="154"/>
      <c r="D199" s="149" t="str">
        <f t="shared" si="19"/>
        <v/>
      </c>
      <c r="E199" s="201"/>
      <c r="F199" s="149" t="str">
        <f t="shared" si="20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1"/>
        <v/>
      </c>
      <c r="C200" s="154"/>
      <c r="D200" s="149" t="str">
        <f t="shared" si="19"/>
        <v/>
      </c>
      <c r="E200" s="201"/>
      <c r="F200" s="149" t="str">
        <f t="shared" si="20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1"/>
        <v/>
      </c>
      <c r="C201" s="154"/>
      <c r="D201" s="149" t="str">
        <f t="shared" si="19"/>
        <v/>
      </c>
      <c r="E201" s="201"/>
      <c r="F201" s="149" t="str">
        <f t="shared" si="20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1"/>
        <v/>
      </c>
      <c r="C202" s="154"/>
      <c r="D202" s="149" t="str">
        <f t="shared" si="19"/>
        <v/>
      </c>
      <c r="E202" s="201"/>
      <c r="F202" s="149" t="str">
        <f t="shared" si="20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1"/>
        <v/>
      </c>
      <c r="C203" s="154"/>
      <c r="D203" s="149" t="str">
        <f t="shared" si="19"/>
        <v/>
      </c>
      <c r="E203" s="201"/>
      <c r="F203" s="149" t="str">
        <f t="shared" si="20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1"/>
        <v/>
      </c>
      <c r="C204" s="154"/>
      <c r="D204" s="149" t="str">
        <f t="shared" si="19"/>
        <v/>
      </c>
      <c r="E204" s="201"/>
      <c r="F204" s="149" t="str">
        <f t="shared" si="20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1"/>
        <v/>
      </c>
      <c r="C205" s="154"/>
      <c r="D205" s="149" t="str">
        <f t="shared" si="19"/>
        <v/>
      </c>
      <c r="E205" s="201"/>
      <c r="F205" s="149" t="str">
        <f t="shared" si="20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1"/>
        <v/>
      </c>
      <c r="C206" s="154"/>
      <c r="D206" s="149" t="str">
        <f t="shared" si="19"/>
        <v/>
      </c>
      <c r="E206" s="201"/>
      <c r="F206" s="149" t="str">
        <f t="shared" si="20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1"/>
        <v/>
      </c>
      <c r="C207" s="154"/>
      <c r="D207" s="149" t="str">
        <f t="shared" si="19"/>
        <v/>
      </c>
      <c r="E207" s="201"/>
      <c r="F207" s="149" t="str">
        <f t="shared" si="20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1"/>
        <v/>
      </c>
      <c r="C208" s="154"/>
      <c r="D208" s="149" t="str">
        <f t="shared" si="19"/>
        <v/>
      </c>
      <c r="E208" s="201"/>
      <c r="F208" s="149" t="str">
        <f t="shared" si="20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1"/>
        <v/>
      </c>
      <c r="C209" s="154"/>
      <c r="D209" s="149" t="str">
        <f t="shared" si="19"/>
        <v/>
      </c>
      <c r="E209" s="201"/>
      <c r="F209" s="149" t="str">
        <f t="shared" si="20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1"/>
        <v/>
      </c>
      <c r="C210" s="154"/>
      <c r="D210" s="149" t="str">
        <f t="shared" si="19"/>
        <v/>
      </c>
      <c r="E210" s="201"/>
      <c r="F210" s="149" t="str">
        <f t="shared" si="20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1"/>
        <v/>
      </c>
      <c r="C211" s="154"/>
      <c r="D211" s="149" t="str">
        <f t="shared" si="19"/>
        <v/>
      </c>
      <c r="E211" s="201"/>
      <c r="F211" s="149" t="str">
        <f t="shared" si="20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1"/>
        <v/>
      </c>
      <c r="C212" s="154"/>
      <c r="D212" s="149" t="str">
        <f t="shared" si="19"/>
        <v/>
      </c>
      <c r="E212" s="201"/>
      <c r="F212" s="149" t="str">
        <f t="shared" si="20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1"/>
        <v/>
      </c>
      <c r="C213" s="154"/>
      <c r="D213" s="149" t="str">
        <f t="shared" si="19"/>
        <v/>
      </c>
      <c r="E213" s="201"/>
      <c r="F213" s="149" t="str">
        <f t="shared" si="20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1"/>
        <v/>
      </c>
      <c r="C214" s="154"/>
      <c r="D214" s="149" t="str">
        <f t="shared" si="19"/>
        <v/>
      </c>
      <c r="E214" s="201"/>
      <c r="F214" s="149" t="str">
        <f t="shared" si="20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1"/>
        <v/>
      </c>
      <c r="C215" s="154"/>
      <c r="D215" s="149" t="str">
        <f t="shared" si="19"/>
        <v/>
      </c>
      <c r="E215" s="201"/>
      <c r="F215" s="149" t="str">
        <f t="shared" si="20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1"/>
        <v/>
      </c>
      <c r="C216" s="154"/>
      <c r="D216" s="149" t="str">
        <f t="shared" si="19"/>
        <v/>
      </c>
      <c r="E216" s="201"/>
      <c r="F216" s="149" t="str">
        <f t="shared" si="20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1"/>
        <v/>
      </c>
      <c r="C217" s="154"/>
      <c r="D217" s="149" t="str">
        <f t="shared" si="19"/>
        <v/>
      </c>
      <c r="E217" s="201"/>
      <c r="F217" s="149" t="str">
        <f t="shared" si="20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1"/>
        <v/>
      </c>
      <c r="C218" s="154"/>
      <c r="D218" s="149" t="str">
        <f t="shared" si="19"/>
        <v/>
      </c>
      <c r="E218" s="201"/>
      <c r="F218" s="149" t="str">
        <f t="shared" si="20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1"/>
        <v/>
      </c>
      <c r="C219" s="154"/>
      <c r="D219" s="149" t="str">
        <f t="shared" si="19"/>
        <v/>
      </c>
      <c r="E219" s="201"/>
      <c r="F219" s="149" t="str">
        <f t="shared" si="20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1"/>
        <v/>
      </c>
      <c r="C220" s="154"/>
      <c r="D220" s="149" t="str">
        <f t="shared" si="19"/>
        <v/>
      </c>
      <c r="E220" s="201"/>
      <c r="F220" s="149" t="str">
        <f t="shared" si="20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1"/>
        <v/>
      </c>
      <c r="C221" s="154"/>
      <c r="D221" s="149" t="str">
        <f t="shared" si="19"/>
        <v/>
      </c>
      <c r="E221" s="201"/>
      <c r="F221" s="149" t="str">
        <f t="shared" si="20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1"/>
        <v/>
      </c>
      <c r="C222" s="154"/>
      <c r="D222" s="149" t="str">
        <f t="shared" si="19"/>
        <v/>
      </c>
      <c r="E222" s="201"/>
      <c r="F222" s="149" t="str">
        <f t="shared" si="20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1"/>
        <v/>
      </c>
      <c r="C223" s="154"/>
      <c r="D223" s="149" t="str">
        <f t="shared" si="19"/>
        <v/>
      </c>
      <c r="E223" s="201"/>
      <c r="F223" s="149" t="str">
        <f t="shared" si="20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1"/>
        <v/>
      </c>
      <c r="C224" s="154"/>
      <c r="D224" s="149" t="str">
        <f t="shared" si="19"/>
        <v/>
      </c>
      <c r="E224" s="201"/>
      <c r="F224" s="149" t="str">
        <f t="shared" si="20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1"/>
        <v/>
      </c>
      <c r="C225" s="154"/>
      <c r="D225" s="149" t="str">
        <f t="shared" si="19"/>
        <v/>
      </c>
      <c r="E225" s="201"/>
      <c r="F225" s="149" t="str">
        <f t="shared" si="20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1"/>
        <v/>
      </c>
      <c r="C226" s="154"/>
      <c r="D226" s="149" t="str">
        <f t="shared" si="19"/>
        <v/>
      </c>
      <c r="E226" s="201"/>
      <c r="F226" s="149" t="str">
        <f t="shared" si="20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1"/>
        <v/>
      </c>
      <c r="C227" s="154"/>
      <c r="D227" s="149" t="str">
        <f t="shared" si="19"/>
        <v/>
      </c>
      <c r="E227" s="201"/>
      <c r="F227" s="149" t="str">
        <f t="shared" si="20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1"/>
        <v/>
      </c>
      <c r="C228" s="154"/>
      <c r="D228" s="149" t="str">
        <f t="shared" si="19"/>
        <v/>
      </c>
      <c r="E228" s="201"/>
      <c r="F228" s="149" t="str">
        <f t="shared" si="20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1"/>
        <v/>
      </c>
      <c r="C229" s="154"/>
      <c r="D229" s="149" t="str">
        <f t="shared" si="19"/>
        <v/>
      </c>
      <c r="E229" s="201"/>
      <c r="F229" s="149" t="str">
        <f t="shared" si="20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1"/>
        <v/>
      </c>
      <c r="C230" s="154"/>
      <c r="D230" s="149" t="str">
        <f t="shared" si="19"/>
        <v/>
      </c>
      <c r="E230" s="201"/>
      <c r="F230" s="149" t="str">
        <f t="shared" si="20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1"/>
        <v/>
      </c>
      <c r="C231" s="154"/>
      <c r="D231" s="149" t="str">
        <f t="shared" si="19"/>
        <v/>
      </c>
      <c r="E231" s="201"/>
      <c r="F231" s="149" t="str">
        <f t="shared" si="20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1"/>
        <v/>
      </c>
      <c r="C232" s="154"/>
      <c r="D232" s="149" t="str">
        <f t="shared" si="19"/>
        <v/>
      </c>
      <c r="E232" s="201"/>
      <c r="F232" s="149" t="str">
        <f t="shared" si="20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1"/>
        <v/>
      </c>
      <c r="C233" s="154"/>
      <c r="D233" s="149" t="str">
        <f t="shared" si="19"/>
        <v/>
      </c>
      <c r="E233" s="201"/>
      <c r="F233" s="149" t="str">
        <f t="shared" si="20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1"/>
        <v/>
      </c>
      <c r="C234" s="154"/>
      <c r="D234" s="149" t="str">
        <f t="shared" si="19"/>
        <v/>
      </c>
      <c r="E234" s="201"/>
      <c r="F234" s="149" t="str">
        <f t="shared" si="20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1"/>
        <v/>
      </c>
      <c r="C235" s="154"/>
      <c r="D235" s="149" t="str">
        <f t="shared" si="19"/>
        <v/>
      </c>
      <c r="E235" s="201"/>
      <c r="F235" s="149" t="str">
        <f t="shared" si="20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1"/>
        <v/>
      </c>
      <c r="C236" s="154"/>
      <c r="D236" s="149" t="str">
        <f t="shared" si="19"/>
        <v/>
      </c>
      <c r="E236" s="201"/>
      <c r="F236" s="149" t="str">
        <f t="shared" si="20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1"/>
        <v/>
      </c>
      <c r="C237" s="154"/>
      <c r="D237" s="149" t="str">
        <f t="shared" si="19"/>
        <v/>
      </c>
      <c r="E237" s="201"/>
      <c r="F237" s="149" t="str">
        <f t="shared" si="20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1"/>
        <v/>
      </c>
      <c r="C238" s="154"/>
      <c r="D238" s="149" t="str">
        <f t="shared" si="19"/>
        <v/>
      </c>
      <c r="E238" s="201"/>
      <c r="F238" s="149" t="str">
        <f t="shared" si="20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1"/>
        <v/>
      </c>
      <c r="C239" s="154"/>
      <c r="D239" s="149" t="str">
        <f t="shared" si="19"/>
        <v/>
      </c>
      <c r="E239" s="201"/>
      <c r="F239" s="149" t="str">
        <f t="shared" si="20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1"/>
        <v/>
      </c>
      <c r="C240" s="154"/>
      <c r="D240" s="149" t="str">
        <f t="shared" si="19"/>
        <v/>
      </c>
      <c r="E240" s="201"/>
      <c r="F240" s="149" t="str">
        <f t="shared" si="20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1"/>
        <v/>
      </c>
      <c r="C241" s="154"/>
      <c r="D241" s="149" t="str">
        <f t="shared" si="19"/>
        <v/>
      </c>
      <c r="E241" s="201"/>
      <c r="F241" s="149" t="str">
        <f t="shared" si="20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1"/>
        <v/>
      </c>
      <c r="C242" s="154"/>
      <c r="D242" s="149" t="str">
        <f t="shared" si="19"/>
        <v/>
      </c>
      <c r="E242" s="201"/>
      <c r="F242" s="149" t="str">
        <f t="shared" si="20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1"/>
        <v/>
      </c>
      <c r="C243" s="154"/>
      <c r="D243" s="149" t="str">
        <f t="shared" si="19"/>
        <v/>
      </c>
      <c r="E243" s="201"/>
      <c r="F243" s="149" t="str">
        <f t="shared" si="20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1"/>
        <v/>
      </c>
      <c r="C244" s="154"/>
      <c r="D244" s="149" t="str">
        <f t="shared" si="19"/>
        <v/>
      </c>
      <c r="E244" s="201"/>
      <c r="F244" s="149" t="str">
        <f t="shared" si="20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1"/>
        <v/>
      </c>
      <c r="C245" s="154"/>
      <c r="D245" s="149" t="str">
        <f t="shared" si="19"/>
        <v/>
      </c>
      <c r="E245" s="201"/>
      <c r="F245" s="149" t="str">
        <f t="shared" si="20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1"/>
        <v/>
      </c>
      <c r="C246" s="154"/>
      <c r="D246" s="149" t="str">
        <f t="shared" si="19"/>
        <v/>
      </c>
      <c r="E246" s="201"/>
      <c r="F246" s="149" t="str">
        <f t="shared" si="20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1"/>
        <v/>
      </c>
      <c r="C247" s="154"/>
      <c r="D247" s="149" t="str">
        <f t="shared" si="19"/>
        <v/>
      </c>
      <c r="E247" s="201"/>
      <c r="F247" s="149" t="str">
        <f t="shared" si="20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1"/>
        <v/>
      </c>
      <c r="C248" s="154"/>
      <c r="D248" s="149" t="str">
        <f t="shared" si="19"/>
        <v/>
      </c>
      <c r="E248" s="201"/>
      <c r="F248" s="149" t="str">
        <f t="shared" si="20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1"/>
        <v/>
      </c>
      <c r="C249" s="154"/>
      <c r="D249" s="149" t="str">
        <f t="shared" si="19"/>
        <v/>
      </c>
      <c r="E249" s="201"/>
      <c r="F249" s="149" t="str">
        <f t="shared" si="20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1"/>
        <v/>
      </c>
      <c r="C250" s="154"/>
      <c r="D250" s="149" t="str">
        <f t="shared" si="19"/>
        <v/>
      </c>
      <c r="E250" s="201"/>
      <c r="F250" s="149" t="str">
        <f t="shared" si="20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1"/>
        <v/>
      </c>
      <c r="C251" s="154"/>
      <c r="D251" s="149" t="str">
        <f t="shared" si="19"/>
        <v/>
      </c>
      <c r="E251" s="201"/>
      <c r="F251" s="149" t="str">
        <f t="shared" si="20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1"/>
        <v/>
      </c>
      <c r="C252" s="154"/>
      <c r="D252" s="149" t="str">
        <f t="shared" si="19"/>
        <v/>
      </c>
      <c r="E252" s="201"/>
      <c r="F252" s="149" t="str">
        <f t="shared" si="20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1"/>
        <v/>
      </c>
      <c r="C253" s="154"/>
      <c r="D253" s="149" t="str">
        <f t="shared" si="19"/>
        <v/>
      </c>
      <c r="E253" s="201"/>
      <c r="F253" s="149" t="str">
        <f t="shared" si="20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1"/>
        <v/>
      </c>
      <c r="C254" s="154"/>
      <c r="D254" s="149" t="str">
        <f t="shared" si="19"/>
        <v/>
      </c>
      <c r="E254" s="201"/>
      <c r="F254" s="149" t="str">
        <f t="shared" si="20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1"/>
        <v/>
      </c>
      <c r="C255" s="154"/>
      <c r="D255" s="149" t="str">
        <f t="shared" si="19"/>
        <v/>
      </c>
      <c r="E255" s="201"/>
      <c r="F255" s="149" t="str">
        <f t="shared" si="20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1"/>
        <v/>
      </c>
      <c r="C256" s="154"/>
      <c r="D256" s="149" t="str">
        <f t="shared" si="19"/>
        <v/>
      </c>
      <c r="E256" s="201"/>
      <c r="F256" s="149" t="str">
        <f t="shared" si="20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1"/>
        <v/>
      </c>
      <c r="C257" s="154"/>
      <c r="D257" s="149" t="str">
        <f t="shared" si="19"/>
        <v/>
      </c>
      <c r="E257" s="201"/>
      <c r="F257" s="149" t="str">
        <f t="shared" si="20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1"/>
        <v/>
      </c>
      <c r="C258" s="154"/>
      <c r="D258" s="149" t="str">
        <f t="shared" si="19"/>
        <v/>
      </c>
      <c r="E258" s="201"/>
      <c r="F258" s="149" t="str">
        <f t="shared" si="20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1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ref="F259:F322" si="25">IFERROR(VLOOKUP(E259,$AA$6:$AB$200,2,FALSE),"")</f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6">IFERROR(VLOOKUP(A260,$R$6:$S$18,2,FALSE),"")</f>
        <v/>
      </c>
      <c r="C260" s="154"/>
      <c r="D260" s="149" t="str">
        <f t="shared" si="24"/>
        <v/>
      </c>
      <c r="E260" s="201"/>
      <c r="F260" s="149" t="str">
        <f t="shared" si="25"/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6"/>
        <v/>
      </c>
      <c r="C261" s="154"/>
      <c r="D261" s="149" t="str">
        <f t="shared" si="24"/>
        <v/>
      </c>
      <c r="E261" s="201"/>
      <c r="F261" s="149" t="str">
        <f t="shared" si="25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6"/>
        <v/>
      </c>
      <c r="C262" s="154"/>
      <c r="D262" s="149" t="str">
        <f t="shared" si="24"/>
        <v/>
      </c>
      <c r="E262" s="201"/>
      <c r="F262" s="149" t="str">
        <f t="shared" si="25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6"/>
        <v/>
      </c>
      <c r="C263" s="154"/>
      <c r="D263" s="149" t="str">
        <f t="shared" si="24"/>
        <v/>
      </c>
      <c r="E263" s="201"/>
      <c r="F263" s="149" t="str">
        <f t="shared" si="25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6"/>
        <v/>
      </c>
      <c r="C264" s="154"/>
      <c r="D264" s="149" t="str">
        <f t="shared" si="24"/>
        <v/>
      </c>
      <c r="E264" s="201"/>
      <c r="F264" s="149" t="str">
        <f t="shared" si="25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6"/>
        <v/>
      </c>
      <c r="C265" s="154"/>
      <c r="D265" s="149" t="str">
        <f t="shared" si="24"/>
        <v/>
      </c>
      <c r="E265" s="201"/>
      <c r="F265" s="149" t="str">
        <f t="shared" si="25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6"/>
        <v/>
      </c>
      <c r="C266" s="154"/>
      <c r="D266" s="149" t="str">
        <f t="shared" si="24"/>
        <v/>
      </c>
      <c r="E266" s="201"/>
      <c r="F266" s="149" t="str">
        <f t="shared" si="25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6"/>
        <v/>
      </c>
      <c r="C267" s="154"/>
      <c r="D267" s="149" t="str">
        <f t="shared" si="24"/>
        <v/>
      </c>
      <c r="E267" s="201"/>
      <c r="F267" s="149" t="str">
        <f t="shared" si="25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6"/>
        <v/>
      </c>
      <c r="C268" s="154"/>
      <c r="D268" s="149" t="str">
        <f t="shared" si="24"/>
        <v/>
      </c>
      <c r="E268" s="201"/>
      <c r="F268" s="149" t="str">
        <f t="shared" si="25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6"/>
        <v/>
      </c>
      <c r="C269" s="154"/>
      <c r="D269" s="149" t="str">
        <f t="shared" si="24"/>
        <v/>
      </c>
      <c r="E269" s="201"/>
      <c r="F269" s="149" t="str">
        <f t="shared" si="25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6"/>
        <v/>
      </c>
      <c r="C270" s="154"/>
      <c r="D270" s="149" t="str">
        <f t="shared" si="24"/>
        <v/>
      </c>
      <c r="E270" s="201"/>
      <c r="F270" s="149" t="str">
        <f t="shared" si="25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6"/>
        <v/>
      </c>
      <c r="C271" s="154"/>
      <c r="D271" s="149" t="str">
        <f t="shared" si="24"/>
        <v/>
      </c>
      <c r="E271" s="201"/>
      <c r="F271" s="149" t="str">
        <f t="shared" si="25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6"/>
        <v/>
      </c>
      <c r="C272" s="154"/>
      <c r="D272" s="149" t="str">
        <f t="shared" si="24"/>
        <v/>
      </c>
      <c r="E272" s="201"/>
      <c r="F272" s="149" t="str">
        <f t="shared" si="25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6"/>
        <v/>
      </c>
      <c r="C273" s="154"/>
      <c r="D273" s="149" t="str">
        <f t="shared" si="24"/>
        <v/>
      </c>
      <c r="E273" s="201"/>
      <c r="F273" s="149" t="str">
        <f t="shared" si="25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6"/>
        <v/>
      </c>
      <c r="C274" s="154"/>
      <c r="D274" s="149" t="str">
        <f t="shared" si="24"/>
        <v/>
      </c>
      <c r="E274" s="201"/>
      <c r="F274" s="149" t="str">
        <f t="shared" si="25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6"/>
        <v/>
      </c>
      <c r="C275" s="154"/>
      <c r="D275" s="149" t="str">
        <f t="shared" si="24"/>
        <v/>
      </c>
      <c r="E275" s="201"/>
      <c r="F275" s="149" t="str">
        <f t="shared" si="25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6"/>
        <v/>
      </c>
      <c r="C276" s="154"/>
      <c r="D276" s="149" t="str">
        <f t="shared" si="24"/>
        <v/>
      </c>
      <c r="E276" s="201"/>
      <c r="F276" s="149" t="str">
        <f t="shared" si="25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6"/>
        <v/>
      </c>
      <c r="C277" s="154"/>
      <c r="D277" s="149" t="str">
        <f t="shared" si="24"/>
        <v/>
      </c>
      <c r="E277" s="201"/>
      <c r="F277" s="149" t="str">
        <f t="shared" si="25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6"/>
        <v/>
      </c>
      <c r="C278" s="154"/>
      <c r="D278" s="149" t="str">
        <f t="shared" si="24"/>
        <v/>
      </c>
      <c r="E278" s="201"/>
      <c r="F278" s="149" t="str">
        <f t="shared" si="25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6"/>
        <v/>
      </c>
      <c r="C279" s="154"/>
      <c r="D279" s="149" t="str">
        <f t="shared" si="24"/>
        <v/>
      </c>
      <c r="E279" s="201"/>
      <c r="F279" s="149" t="str">
        <f t="shared" si="25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6"/>
        <v/>
      </c>
      <c r="C280" s="154"/>
      <c r="D280" s="149" t="str">
        <f t="shared" si="24"/>
        <v/>
      </c>
      <c r="E280" s="201"/>
      <c r="F280" s="149" t="str">
        <f t="shared" si="25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6"/>
        <v/>
      </c>
      <c r="C281" s="154"/>
      <c r="D281" s="149" t="str">
        <f t="shared" si="24"/>
        <v/>
      </c>
      <c r="E281" s="201"/>
      <c r="F281" s="149" t="str">
        <f t="shared" si="25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6"/>
        <v/>
      </c>
      <c r="C282" s="154"/>
      <c r="D282" s="149" t="str">
        <f t="shared" si="24"/>
        <v/>
      </c>
      <c r="E282" s="201"/>
      <c r="F282" s="149" t="str">
        <f t="shared" si="25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6"/>
        <v/>
      </c>
      <c r="C283" s="154"/>
      <c r="D283" s="149" t="str">
        <f t="shared" si="24"/>
        <v/>
      </c>
      <c r="E283" s="201"/>
      <c r="F283" s="149" t="str">
        <f t="shared" si="25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6"/>
        <v/>
      </c>
      <c r="C284" s="154"/>
      <c r="D284" s="149" t="str">
        <f t="shared" si="24"/>
        <v/>
      </c>
      <c r="E284" s="201"/>
      <c r="F284" s="149" t="str">
        <f t="shared" si="25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6"/>
        <v/>
      </c>
      <c r="C285" s="154"/>
      <c r="D285" s="149" t="str">
        <f t="shared" si="24"/>
        <v/>
      </c>
      <c r="E285" s="201"/>
      <c r="F285" s="149" t="str">
        <f t="shared" si="25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6"/>
        <v/>
      </c>
      <c r="C286" s="154"/>
      <c r="D286" s="149" t="str">
        <f t="shared" si="24"/>
        <v/>
      </c>
      <c r="E286" s="201"/>
      <c r="F286" s="149" t="str">
        <f t="shared" si="25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6"/>
        <v/>
      </c>
      <c r="C287" s="154"/>
      <c r="D287" s="149" t="str">
        <f t="shared" si="24"/>
        <v/>
      </c>
      <c r="E287" s="201"/>
      <c r="F287" s="149" t="str">
        <f t="shared" si="25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6"/>
        <v/>
      </c>
      <c r="C288" s="154"/>
      <c r="D288" s="149" t="str">
        <f t="shared" si="24"/>
        <v/>
      </c>
      <c r="E288" s="201"/>
      <c r="F288" s="149" t="str">
        <f t="shared" si="25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6"/>
        <v/>
      </c>
      <c r="C289" s="154"/>
      <c r="D289" s="149" t="str">
        <f t="shared" si="24"/>
        <v/>
      </c>
      <c r="E289" s="201"/>
      <c r="F289" s="149" t="str">
        <f t="shared" si="25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6"/>
        <v/>
      </c>
      <c r="C290" s="154"/>
      <c r="D290" s="149" t="str">
        <f t="shared" si="24"/>
        <v/>
      </c>
      <c r="E290" s="201"/>
      <c r="F290" s="149" t="str">
        <f t="shared" si="25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6"/>
        <v/>
      </c>
      <c r="C291" s="154"/>
      <c r="D291" s="149" t="str">
        <f t="shared" si="24"/>
        <v/>
      </c>
      <c r="E291" s="201"/>
      <c r="F291" s="149" t="str">
        <f t="shared" si="25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6"/>
        <v/>
      </c>
      <c r="C292" s="154"/>
      <c r="D292" s="149" t="str">
        <f t="shared" si="24"/>
        <v/>
      </c>
      <c r="E292" s="201"/>
      <c r="F292" s="149" t="str">
        <f t="shared" si="25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6"/>
        <v/>
      </c>
      <c r="C293" s="154"/>
      <c r="D293" s="149" t="str">
        <f t="shared" si="24"/>
        <v/>
      </c>
      <c r="E293" s="201"/>
      <c r="F293" s="149" t="str">
        <f t="shared" si="25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6"/>
        <v/>
      </c>
      <c r="C294" s="154"/>
      <c r="D294" s="149" t="str">
        <f t="shared" si="24"/>
        <v/>
      </c>
      <c r="E294" s="201"/>
      <c r="F294" s="149" t="str">
        <f t="shared" si="25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6"/>
        <v/>
      </c>
      <c r="C295" s="154"/>
      <c r="D295" s="149" t="str">
        <f t="shared" si="24"/>
        <v/>
      </c>
      <c r="E295" s="201"/>
      <c r="F295" s="149" t="str">
        <f t="shared" si="25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6"/>
        <v/>
      </c>
      <c r="C296" s="154"/>
      <c r="D296" s="149" t="str">
        <f t="shared" si="24"/>
        <v/>
      </c>
      <c r="E296" s="201"/>
      <c r="F296" s="149" t="str">
        <f t="shared" si="25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6"/>
        <v/>
      </c>
      <c r="C297" s="154"/>
      <c r="D297" s="149" t="str">
        <f t="shared" si="24"/>
        <v/>
      </c>
      <c r="E297" s="201"/>
      <c r="F297" s="149" t="str">
        <f t="shared" si="25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6"/>
        <v/>
      </c>
      <c r="C298" s="154"/>
      <c r="D298" s="149" t="str">
        <f t="shared" si="24"/>
        <v/>
      </c>
      <c r="E298" s="201"/>
      <c r="F298" s="149" t="str">
        <f t="shared" si="25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6"/>
        <v/>
      </c>
      <c r="C299" s="154"/>
      <c r="D299" s="149" t="str">
        <f t="shared" si="24"/>
        <v/>
      </c>
      <c r="E299" s="201"/>
      <c r="F299" s="149" t="str">
        <f t="shared" si="25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6"/>
        <v/>
      </c>
      <c r="C300" s="154"/>
      <c r="D300" s="149" t="str">
        <f t="shared" si="24"/>
        <v/>
      </c>
      <c r="E300" s="201"/>
      <c r="F300" s="149" t="str">
        <f t="shared" si="25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6"/>
        <v/>
      </c>
      <c r="C301" s="154"/>
      <c r="D301" s="149" t="str">
        <f t="shared" si="24"/>
        <v/>
      </c>
      <c r="E301" s="201"/>
      <c r="F301" s="149" t="str">
        <f t="shared" si="25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6"/>
        <v/>
      </c>
      <c r="C302" s="154"/>
      <c r="D302" s="149" t="str">
        <f t="shared" si="24"/>
        <v/>
      </c>
      <c r="E302" s="201"/>
      <c r="F302" s="149" t="str">
        <f t="shared" si="25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6"/>
        <v/>
      </c>
      <c r="C303" s="154"/>
      <c r="D303" s="149" t="str">
        <f t="shared" si="24"/>
        <v/>
      </c>
      <c r="E303" s="201"/>
      <c r="F303" s="149" t="str">
        <f t="shared" si="25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6"/>
        <v/>
      </c>
      <c r="C304" s="154"/>
      <c r="D304" s="149" t="str">
        <f t="shared" si="24"/>
        <v/>
      </c>
      <c r="E304" s="201"/>
      <c r="F304" s="149" t="str">
        <f t="shared" si="25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6"/>
        <v/>
      </c>
      <c r="C305" s="154"/>
      <c r="D305" s="149" t="str">
        <f t="shared" si="24"/>
        <v/>
      </c>
      <c r="E305" s="201"/>
      <c r="F305" s="149" t="str">
        <f t="shared" si="25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6"/>
        <v/>
      </c>
      <c r="C306" s="154"/>
      <c r="D306" s="149" t="str">
        <f t="shared" si="24"/>
        <v/>
      </c>
      <c r="E306" s="201"/>
      <c r="F306" s="149" t="str">
        <f t="shared" si="25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6"/>
        <v/>
      </c>
      <c r="C307" s="154"/>
      <c r="D307" s="149" t="str">
        <f t="shared" si="24"/>
        <v/>
      </c>
      <c r="E307" s="201"/>
      <c r="F307" s="149" t="str">
        <f t="shared" si="25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6"/>
        <v/>
      </c>
      <c r="C308" s="154"/>
      <c r="D308" s="149" t="str">
        <f t="shared" si="24"/>
        <v/>
      </c>
      <c r="E308" s="201"/>
      <c r="F308" s="149" t="str">
        <f t="shared" si="25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6"/>
        <v/>
      </c>
      <c r="C309" s="154"/>
      <c r="D309" s="149" t="str">
        <f t="shared" si="24"/>
        <v/>
      </c>
      <c r="E309" s="201"/>
      <c r="F309" s="149" t="str">
        <f t="shared" si="25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6"/>
        <v/>
      </c>
      <c r="C310" s="154"/>
      <c r="D310" s="149" t="str">
        <f t="shared" si="24"/>
        <v/>
      </c>
      <c r="E310" s="201"/>
      <c r="F310" s="149" t="str">
        <f t="shared" si="25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6"/>
        <v/>
      </c>
      <c r="C311" s="154"/>
      <c r="D311" s="149" t="str">
        <f t="shared" si="24"/>
        <v/>
      </c>
      <c r="E311" s="201"/>
      <c r="F311" s="149" t="str">
        <f t="shared" si="25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6"/>
        <v/>
      </c>
      <c r="C312" s="154"/>
      <c r="D312" s="149" t="str">
        <f t="shared" si="24"/>
        <v/>
      </c>
      <c r="E312" s="201"/>
      <c r="F312" s="149" t="str">
        <f t="shared" si="25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6"/>
        <v/>
      </c>
      <c r="C313" s="154"/>
      <c r="D313" s="149" t="str">
        <f t="shared" si="24"/>
        <v/>
      </c>
      <c r="E313" s="201"/>
      <c r="F313" s="149" t="str">
        <f t="shared" si="25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6"/>
        <v/>
      </c>
      <c r="C314" s="154"/>
      <c r="D314" s="149" t="str">
        <f t="shared" si="24"/>
        <v/>
      </c>
      <c r="E314" s="201"/>
      <c r="F314" s="149" t="str">
        <f t="shared" si="25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6"/>
        <v/>
      </c>
      <c r="C315" s="154"/>
      <c r="D315" s="149" t="str">
        <f t="shared" si="24"/>
        <v/>
      </c>
      <c r="E315" s="201"/>
      <c r="F315" s="149" t="str">
        <f t="shared" si="25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6"/>
        <v/>
      </c>
      <c r="C316" s="154"/>
      <c r="D316" s="149" t="str">
        <f t="shared" si="24"/>
        <v/>
      </c>
      <c r="E316" s="201"/>
      <c r="F316" s="149" t="str">
        <f t="shared" si="25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6"/>
        <v/>
      </c>
      <c r="C317" s="154"/>
      <c r="D317" s="149" t="str">
        <f t="shared" si="24"/>
        <v/>
      </c>
      <c r="E317" s="201"/>
      <c r="F317" s="149" t="str">
        <f t="shared" si="25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6"/>
        <v/>
      </c>
      <c r="C318" s="154"/>
      <c r="D318" s="149" t="str">
        <f t="shared" si="24"/>
        <v/>
      </c>
      <c r="E318" s="201"/>
      <c r="F318" s="149" t="str">
        <f t="shared" si="25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6"/>
        <v/>
      </c>
      <c r="C319" s="154"/>
      <c r="D319" s="149" t="str">
        <f t="shared" si="24"/>
        <v/>
      </c>
      <c r="E319" s="201"/>
      <c r="F319" s="149" t="str">
        <f t="shared" si="25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6"/>
        <v/>
      </c>
      <c r="C320" s="154"/>
      <c r="D320" s="149" t="str">
        <f t="shared" si="24"/>
        <v/>
      </c>
      <c r="E320" s="201"/>
      <c r="F320" s="149" t="str">
        <f t="shared" si="25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6"/>
        <v/>
      </c>
      <c r="C321" s="154"/>
      <c r="D321" s="149" t="str">
        <f t="shared" si="24"/>
        <v/>
      </c>
      <c r="E321" s="201"/>
      <c r="F321" s="149" t="str">
        <f t="shared" si="25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6"/>
        <v/>
      </c>
      <c r="C322" s="154"/>
      <c r="D322" s="149" t="str">
        <f t="shared" si="24"/>
        <v/>
      </c>
      <c r="E322" s="201"/>
      <c r="F322" s="149" t="str">
        <f t="shared" si="25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6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ref="F323:F386" si="30">IFERROR(VLOOKUP(E323,$AA$6:$AB$200,2,FALSE),"")</f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1">IFERROR(VLOOKUP(A324,$R$6:$S$18,2,FALSE),"")</f>
        <v/>
      </c>
      <c r="C324" s="154"/>
      <c r="D324" s="149" t="str">
        <f t="shared" si="29"/>
        <v/>
      </c>
      <c r="E324" s="201"/>
      <c r="F324" s="149" t="str">
        <f t="shared" si="30"/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1"/>
        <v/>
      </c>
      <c r="C325" s="154"/>
      <c r="D325" s="149" t="str">
        <f t="shared" si="29"/>
        <v/>
      </c>
      <c r="E325" s="201"/>
      <c r="F325" s="149" t="str">
        <f t="shared" si="30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1"/>
        <v/>
      </c>
      <c r="C326" s="154"/>
      <c r="D326" s="149" t="str">
        <f t="shared" si="29"/>
        <v/>
      </c>
      <c r="E326" s="201"/>
      <c r="F326" s="149" t="str">
        <f t="shared" si="30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1"/>
        <v/>
      </c>
      <c r="C327" s="154"/>
      <c r="D327" s="149" t="str">
        <f t="shared" si="29"/>
        <v/>
      </c>
      <c r="E327" s="201"/>
      <c r="F327" s="149" t="str">
        <f t="shared" si="30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1"/>
        <v/>
      </c>
      <c r="C328" s="154"/>
      <c r="D328" s="149" t="str">
        <f t="shared" si="29"/>
        <v/>
      </c>
      <c r="E328" s="201"/>
      <c r="F328" s="149" t="str">
        <f t="shared" si="30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1"/>
        <v/>
      </c>
      <c r="C329" s="154"/>
      <c r="D329" s="149" t="str">
        <f t="shared" si="29"/>
        <v/>
      </c>
      <c r="E329" s="201"/>
      <c r="F329" s="149" t="str">
        <f t="shared" si="30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1"/>
        <v/>
      </c>
      <c r="C330" s="154"/>
      <c r="D330" s="149" t="str">
        <f t="shared" si="29"/>
        <v/>
      </c>
      <c r="E330" s="201"/>
      <c r="F330" s="149" t="str">
        <f t="shared" si="30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1"/>
        <v/>
      </c>
      <c r="C331" s="154"/>
      <c r="D331" s="149" t="str">
        <f t="shared" si="29"/>
        <v/>
      </c>
      <c r="E331" s="201"/>
      <c r="F331" s="149" t="str">
        <f t="shared" si="30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1"/>
        <v/>
      </c>
      <c r="C332" s="154"/>
      <c r="D332" s="149" t="str">
        <f t="shared" si="29"/>
        <v/>
      </c>
      <c r="E332" s="201"/>
      <c r="F332" s="149" t="str">
        <f t="shared" si="30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1"/>
        <v/>
      </c>
      <c r="C333" s="154"/>
      <c r="D333" s="149" t="str">
        <f t="shared" si="29"/>
        <v/>
      </c>
      <c r="E333" s="201"/>
      <c r="F333" s="149" t="str">
        <f t="shared" si="30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1"/>
        <v/>
      </c>
      <c r="C334" s="154"/>
      <c r="D334" s="149" t="str">
        <f t="shared" si="29"/>
        <v/>
      </c>
      <c r="E334" s="201"/>
      <c r="F334" s="149" t="str">
        <f t="shared" si="30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1"/>
        <v/>
      </c>
      <c r="C335" s="154"/>
      <c r="D335" s="149" t="str">
        <f t="shared" si="29"/>
        <v/>
      </c>
      <c r="E335" s="201"/>
      <c r="F335" s="149" t="str">
        <f t="shared" si="30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1"/>
        <v/>
      </c>
      <c r="C336" s="154"/>
      <c r="D336" s="149" t="str">
        <f t="shared" si="29"/>
        <v/>
      </c>
      <c r="E336" s="201"/>
      <c r="F336" s="149" t="str">
        <f t="shared" si="30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1"/>
        <v/>
      </c>
      <c r="C337" s="154"/>
      <c r="D337" s="149" t="str">
        <f t="shared" si="29"/>
        <v/>
      </c>
      <c r="E337" s="201"/>
      <c r="F337" s="149" t="str">
        <f t="shared" si="30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1"/>
        <v/>
      </c>
      <c r="C338" s="154"/>
      <c r="D338" s="149" t="str">
        <f t="shared" si="29"/>
        <v/>
      </c>
      <c r="E338" s="201"/>
      <c r="F338" s="149" t="str">
        <f t="shared" si="30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1"/>
        <v/>
      </c>
      <c r="C339" s="154"/>
      <c r="D339" s="149" t="str">
        <f t="shared" si="29"/>
        <v/>
      </c>
      <c r="E339" s="201"/>
      <c r="F339" s="149" t="str">
        <f t="shared" si="30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1"/>
        <v/>
      </c>
      <c r="C340" s="154"/>
      <c r="D340" s="149" t="str">
        <f t="shared" si="29"/>
        <v/>
      </c>
      <c r="E340" s="201"/>
      <c r="F340" s="149" t="str">
        <f t="shared" si="30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1"/>
        <v/>
      </c>
      <c r="C341" s="154"/>
      <c r="D341" s="149" t="str">
        <f t="shared" si="29"/>
        <v/>
      </c>
      <c r="E341" s="201"/>
      <c r="F341" s="149" t="str">
        <f t="shared" si="30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1"/>
        <v/>
      </c>
      <c r="C342" s="154"/>
      <c r="D342" s="149" t="str">
        <f t="shared" si="29"/>
        <v/>
      </c>
      <c r="E342" s="201"/>
      <c r="F342" s="149" t="str">
        <f t="shared" si="30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1"/>
        <v/>
      </c>
      <c r="C343" s="154"/>
      <c r="D343" s="149" t="str">
        <f t="shared" si="29"/>
        <v/>
      </c>
      <c r="E343" s="201"/>
      <c r="F343" s="149" t="str">
        <f t="shared" si="30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1"/>
        <v/>
      </c>
      <c r="C344" s="154"/>
      <c r="D344" s="149" t="str">
        <f t="shared" si="29"/>
        <v/>
      </c>
      <c r="E344" s="201"/>
      <c r="F344" s="149" t="str">
        <f t="shared" si="30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1"/>
        <v/>
      </c>
      <c r="C345" s="154"/>
      <c r="D345" s="149" t="str">
        <f t="shared" si="29"/>
        <v/>
      </c>
      <c r="E345" s="201"/>
      <c r="F345" s="149" t="str">
        <f t="shared" si="30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1"/>
        <v/>
      </c>
      <c r="C346" s="154"/>
      <c r="D346" s="149" t="str">
        <f t="shared" si="29"/>
        <v/>
      </c>
      <c r="E346" s="201"/>
      <c r="F346" s="149" t="str">
        <f t="shared" si="30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1"/>
        <v/>
      </c>
      <c r="C347" s="154"/>
      <c r="D347" s="149" t="str">
        <f t="shared" si="29"/>
        <v/>
      </c>
      <c r="E347" s="201"/>
      <c r="F347" s="149" t="str">
        <f t="shared" si="30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1"/>
        <v/>
      </c>
      <c r="C348" s="154"/>
      <c r="D348" s="149" t="str">
        <f t="shared" si="29"/>
        <v/>
      </c>
      <c r="E348" s="201"/>
      <c r="F348" s="149" t="str">
        <f t="shared" si="30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1"/>
        <v/>
      </c>
      <c r="C349" s="154"/>
      <c r="D349" s="149" t="str">
        <f t="shared" si="29"/>
        <v/>
      </c>
      <c r="E349" s="201"/>
      <c r="F349" s="149" t="str">
        <f t="shared" si="30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1"/>
        <v/>
      </c>
      <c r="C350" s="154"/>
      <c r="D350" s="149" t="str">
        <f t="shared" si="29"/>
        <v/>
      </c>
      <c r="E350" s="201"/>
      <c r="F350" s="149" t="str">
        <f t="shared" si="30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1"/>
        <v/>
      </c>
      <c r="C351" s="154"/>
      <c r="D351" s="149" t="str">
        <f t="shared" si="29"/>
        <v/>
      </c>
      <c r="E351" s="201"/>
      <c r="F351" s="149" t="str">
        <f t="shared" si="30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1"/>
        <v/>
      </c>
      <c r="C352" s="154"/>
      <c r="D352" s="149" t="str">
        <f t="shared" si="29"/>
        <v/>
      </c>
      <c r="E352" s="201"/>
      <c r="F352" s="149" t="str">
        <f t="shared" si="30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1"/>
        <v/>
      </c>
      <c r="C353" s="154"/>
      <c r="D353" s="149" t="str">
        <f t="shared" si="29"/>
        <v/>
      </c>
      <c r="E353" s="201"/>
      <c r="F353" s="149" t="str">
        <f t="shared" si="30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1"/>
        <v/>
      </c>
      <c r="C354" s="154"/>
      <c r="D354" s="149" t="str">
        <f t="shared" si="29"/>
        <v/>
      </c>
      <c r="E354" s="201"/>
      <c r="F354" s="149" t="str">
        <f t="shared" si="30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1"/>
        <v/>
      </c>
      <c r="C355" s="154"/>
      <c r="D355" s="149" t="str">
        <f t="shared" si="29"/>
        <v/>
      </c>
      <c r="E355" s="201"/>
      <c r="F355" s="149" t="str">
        <f t="shared" si="30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1"/>
        <v/>
      </c>
      <c r="C356" s="154"/>
      <c r="D356" s="149" t="str">
        <f t="shared" si="29"/>
        <v/>
      </c>
      <c r="E356" s="201"/>
      <c r="F356" s="149" t="str">
        <f t="shared" si="30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1"/>
        <v/>
      </c>
      <c r="C357" s="154"/>
      <c r="D357" s="149" t="str">
        <f t="shared" si="29"/>
        <v/>
      </c>
      <c r="E357" s="201"/>
      <c r="F357" s="149" t="str">
        <f t="shared" si="30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1"/>
        <v/>
      </c>
      <c r="C358" s="154"/>
      <c r="D358" s="149" t="str">
        <f t="shared" si="29"/>
        <v/>
      </c>
      <c r="E358" s="201"/>
      <c r="F358" s="149" t="str">
        <f t="shared" si="30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1"/>
        <v/>
      </c>
      <c r="C359" s="154"/>
      <c r="D359" s="149" t="str">
        <f t="shared" si="29"/>
        <v/>
      </c>
      <c r="E359" s="201"/>
      <c r="F359" s="149" t="str">
        <f t="shared" si="30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1"/>
        <v/>
      </c>
      <c r="C360" s="154"/>
      <c r="D360" s="149" t="str">
        <f t="shared" si="29"/>
        <v/>
      </c>
      <c r="E360" s="201"/>
      <c r="F360" s="149" t="str">
        <f t="shared" si="30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1"/>
        <v/>
      </c>
      <c r="C361" s="154"/>
      <c r="D361" s="149" t="str">
        <f t="shared" si="29"/>
        <v/>
      </c>
      <c r="E361" s="201"/>
      <c r="F361" s="149" t="str">
        <f t="shared" si="30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1"/>
        <v/>
      </c>
      <c r="C362" s="154"/>
      <c r="D362" s="149" t="str">
        <f t="shared" si="29"/>
        <v/>
      </c>
      <c r="E362" s="201"/>
      <c r="F362" s="149" t="str">
        <f t="shared" si="30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1"/>
        <v/>
      </c>
      <c r="C363" s="154"/>
      <c r="D363" s="149" t="str">
        <f t="shared" si="29"/>
        <v/>
      </c>
      <c r="E363" s="201"/>
      <c r="F363" s="149" t="str">
        <f t="shared" si="30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1"/>
        <v/>
      </c>
      <c r="C364" s="154"/>
      <c r="D364" s="149" t="str">
        <f t="shared" si="29"/>
        <v/>
      </c>
      <c r="E364" s="201"/>
      <c r="F364" s="149" t="str">
        <f t="shared" si="30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1"/>
        <v/>
      </c>
      <c r="C365" s="154"/>
      <c r="D365" s="149" t="str">
        <f t="shared" si="29"/>
        <v/>
      </c>
      <c r="E365" s="201"/>
      <c r="F365" s="149" t="str">
        <f t="shared" si="30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1"/>
        <v/>
      </c>
      <c r="C366" s="154"/>
      <c r="D366" s="149" t="str">
        <f t="shared" si="29"/>
        <v/>
      </c>
      <c r="E366" s="201"/>
      <c r="F366" s="149" t="str">
        <f t="shared" si="30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1"/>
        <v/>
      </c>
      <c r="C367" s="154"/>
      <c r="D367" s="149" t="str">
        <f t="shared" si="29"/>
        <v/>
      </c>
      <c r="E367" s="201"/>
      <c r="F367" s="149" t="str">
        <f t="shared" si="30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1"/>
        <v/>
      </c>
      <c r="C368" s="154"/>
      <c r="D368" s="149" t="str">
        <f t="shared" si="29"/>
        <v/>
      </c>
      <c r="E368" s="201"/>
      <c r="F368" s="149" t="str">
        <f t="shared" si="30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1"/>
        <v/>
      </c>
      <c r="C369" s="154"/>
      <c r="D369" s="149" t="str">
        <f t="shared" si="29"/>
        <v/>
      </c>
      <c r="E369" s="201"/>
      <c r="F369" s="149" t="str">
        <f t="shared" si="30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1"/>
        <v/>
      </c>
      <c r="C370" s="154"/>
      <c r="D370" s="149" t="str">
        <f t="shared" si="29"/>
        <v/>
      </c>
      <c r="E370" s="201"/>
      <c r="F370" s="149" t="str">
        <f t="shared" si="30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1"/>
        <v/>
      </c>
      <c r="C371" s="154"/>
      <c r="D371" s="149" t="str">
        <f t="shared" si="29"/>
        <v/>
      </c>
      <c r="E371" s="201"/>
      <c r="F371" s="149" t="str">
        <f t="shared" si="30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1"/>
        <v/>
      </c>
      <c r="C372" s="154"/>
      <c r="D372" s="149" t="str">
        <f t="shared" si="29"/>
        <v/>
      </c>
      <c r="E372" s="201"/>
      <c r="F372" s="149" t="str">
        <f t="shared" si="30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1"/>
        <v/>
      </c>
      <c r="C373" s="154"/>
      <c r="D373" s="149" t="str">
        <f t="shared" si="29"/>
        <v/>
      </c>
      <c r="E373" s="201"/>
      <c r="F373" s="149" t="str">
        <f t="shared" si="30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1"/>
        <v/>
      </c>
      <c r="C374" s="154"/>
      <c r="D374" s="149" t="str">
        <f t="shared" si="29"/>
        <v/>
      </c>
      <c r="E374" s="201"/>
      <c r="F374" s="149" t="str">
        <f t="shared" si="30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1"/>
        <v/>
      </c>
      <c r="C375" s="154"/>
      <c r="D375" s="149" t="str">
        <f t="shared" si="29"/>
        <v/>
      </c>
      <c r="E375" s="201"/>
      <c r="F375" s="149" t="str">
        <f t="shared" si="30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1"/>
        <v/>
      </c>
      <c r="C376" s="154"/>
      <c r="D376" s="149" t="str">
        <f t="shared" si="29"/>
        <v/>
      </c>
      <c r="E376" s="201"/>
      <c r="F376" s="149" t="str">
        <f t="shared" si="30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1"/>
        <v/>
      </c>
      <c r="C377" s="154"/>
      <c r="D377" s="149" t="str">
        <f t="shared" si="29"/>
        <v/>
      </c>
      <c r="E377" s="201"/>
      <c r="F377" s="149" t="str">
        <f t="shared" si="30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1"/>
        <v/>
      </c>
      <c r="C378" s="154"/>
      <c r="D378" s="149" t="str">
        <f t="shared" si="29"/>
        <v/>
      </c>
      <c r="E378" s="201"/>
      <c r="F378" s="149" t="str">
        <f t="shared" si="30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1"/>
        <v/>
      </c>
      <c r="C379" s="154"/>
      <c r="D379" s="149" t="str">
        <f t="shared" si="29"/>
        <v/>
      </c>
      <c r="E379" s="201"/>
      <c r="F379" s="149" t="str">
        <f t="shared" si="30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1"/>
        <v/>
      </c>
      <c r="C380" s="154"/>
      <c r="D380" s="149" t="str">
        <f t="shared" si="29"/>
        <v/>
      </c>
      <c r="E380" s="201"/>
      <c r="F380" s="149" t="str">
        <f t="shared" si="30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1"/>
        <v/>
      </c>
      <c r="C381" s="154"/>
      <c r="D381" s="149" t="str">
        <f t="shared" si="29"/>
        <v/>
      </c>
      <c r="E381" s="201"/>
      <c r="F381" s="149" t="str">
        <f t="shared" si="30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1"/>
        <v/>
      </c>
      <c r="C382" s="154"/>
      <c r="D382" s="149" t="str">
        <f t="shared" si="29"/>
        <v/>
      </c>
      <c r="E382" s="201"/>
      <c r="F382" s="149" t="str">
        <f t="shared" si="30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1"/>
        <v/>
      </c>
      <c r="C383" s="154"/>
      <c r="D383" s="149" t="str">
        <f t="shared" si="29"/>
        <v/>
      </c>
      <c r="E383" s="201"/>
      <c r="F383" s="149" t="str">
        <f t="shared" si="30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1"/>
        <v/>
      </c>
      <c r="C384" s="154"/>
      <c r="D384" s="149" t="str">
        <f t="shared" si="29"/>
        <v/>
      </c>
      <c r="E384" s="201"/>
      <c r="F384" s="149" t="str">
        <f t="shared" si="30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1"/>
        <v/>
      </c>
      <c r="C385" s="154"/>
      <c r="D385" s="149" t="str">
        <f t="shared" si="29"/>
        <v/>
      </c>
      <c r="E385" s="201"/>
      <c r="F385" s="149" t="str">
        <f t="shared" si="30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1"/>
        <v/>
      </c>
      <c r="C386" s="154"/>
      <c r="D386" s="149" t="str">
        <f t="shared" si="29"/>
        <v/>
      </c>
      <c r="E386" s="201"/>
      <c r="F386" s="149" t="str">
        <f t="shared" si="30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1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ref="F387:F450" si="35">IFERROR(VLOOKUP(E387,$AA$6:$AB$200,2,FALSE),"")</f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6">IFERROR(VLOOKUP(A388,$R$6:$S$18,2,FALSE),"")</f>
        <v/>
      </c>
      <c r="C388" s="154"/>
      <c r="D388" s="149" t="str">
        <f t="shared" si="34"/>
        <v/>
      </c>
      <c r="E388" s="201"/>
      <c r="F388" s="149" t="str">
        <f t="shared" si="35"/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6"/>
        <v/>
      </c>
      <c r="C389" s="154"/>
      <c r="D389" s="149" t="str">
        <f t="shared" si="34"/>
        <v/>
      </c>
      <c r="E389" s="201"/>
      <c r="F389" s="149" t="str">
        <f t="shared" si="35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6"/>
        <v/>
      </c>
      <c r="C390" s="154"/>
      <c r="D390" s="149" t="str">
        <f t="shared" si="34"/>
        <v/>
      </c>
      <c r="E390" s="201"/>
      <c r="F390" s="149" t="str">
        <f t="shared" si="35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6"/>
        <v/>
      </c>
      <c r="C391" s="154"/>
      <c r="D391" s="149" t="str">
        <f t="shared" si="34"/>
        <v/>
      </c>
      <c r="E391" s="201"/>
      <c r="F391" s="149" t="str">
        <f t="shared" si="35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6"/>
        <v/>
      </c>
      <c r="C392" s="154"/>
      <c r="D392" s="149" t="str">
        <f t="shared" si="34"/>
        <v/>
      </c>
      <c r="E392" s="201"/>
      <c r="F392" s="149" t="str">
        <f t="shared" si="35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6"/>
        <v/>
      </c>
      <c r="C393" s="154"/>
      <c r="D393" s="149" t="str">
        <f t="shared" si="34"/>
        <v/>
      </c>
      <c r="E393" s="201"/>
      <c r="F393" s="149" t="str">
        <f t="shared" si="35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6"/>
        <v/>
      </c>
      <c r="C394" s="154"/>
      <c r="D394" s="149" t="str">
        <f t="shared" si="34"/>
        <v/>
      </c>
      <c r="E394" s="201"/>
      <c r="F394" s="149" t="str">
        <f t="shared" si="35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6"/>
        <v/>
      </c>
      <c r="C395" s="154"/>
      <c r="D395" s="149" t="str">
        <f t="shared" si="34"/>
        <v/>
      </c>
      <c r="E395" s="201"/>
      <c r="F395" s="149" t="str">
        <f t="shared" si="35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6"/>
        <v/>
      </c>
      <c r="C396" s="154"/>
      <c r="D396" s="149" t="str">
        <f t="shared" si="34"/>
        <v/>
      </c>
      <c r="E396" s="201"/>
      <c r="F396" s="149" t="str">
        <f t="shared" si="35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6"/>
        <v/>
      </c>
      <c r="C397" s="154"/>
      <c r="D397" s="149" t="str">
        <f t="shared" si="34"/>
        <v/>
      </c>
      <c r="E397" s="201"/>
      <c r="F397" s="149" t="str">
        <f t="shared" si="35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6"/>
        <v/>
      </c>
      <c r="C398" s="154"/>
      <c r="D398" s="149" t="str">
        <f t="shared" si="34"/>
        <v/>
      </c>
      <c r="E398" s="201"/>
      <c r="F398" s="149" t="str">
        <f t="shared" si="35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6"/>
        <v/>
      </c>
      <c r="C399" s="154"/>
      <c r="D399" s="149" t="str">
        <f t="shared" si="34"/>
        <v/>
      </c>
      <c r="E399" s="201"/>
      <c r="F399" s="149" t="str">
        <f t="shared" si="35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6"/>
        <v/>
      </c>
      <c r="C400" s="154"/>
      <c r="D400" s="149" t="str">
        <f t="shared" si="34"/>
        <v/>
      </c>
      <c r="E400" s="201"/>
      <c r="F400" s="149" t="str">
        <f t="shared" si="35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6"/>
        <v/>
      </c>
      <c r="C401" s="154"/>
      <c r="D401" s="149" t="str">
        <f t="shared" si="34"/>
        <v/>
      </c>
      <c r="E401" s="201"/>
      <c r="F401" s="149" t="str">
        <f t="shared" si="35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6"/>
        <v/>
      </c>
      <c r="C402" s="154"/>
      <c r="D402" s="149" t="str">
        <f t="shared" si="34"/>
        <v/>
      </c>
      <c r="E402" s="201"/>
      <c r="F402" s="149" t="str">
        <f t="shared" si="35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6"/>
        <v/>
      </c>
      <c r="C403" s="154"/>
      <c r="D403" s="149" t="str">
        <f t="shared" si="34"/>
        <v/>
      </c>
      <c r="E403" s="201"/>
      <c r="F403" s="149" t="str">
        <f t="shared" si="35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6"/>
        <v/>
      </c>
      <c r="C404" s="154"/>
      <c r="D404" s="149" t="str">
        <f t="shared" si="34"/>
        <v/>
      </c>
      <c r="E404" s="201"/>
      <c r="F404" s="149" t="str">
        <f t="shared" si="35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6"/>
        <v/>
      </c>
      <c r="C405" s="154"/>
      <c r="D405" s="149" t="str">
        <f t="shared" si="34"/>
        <v/>
      </c>
      <c r="E405" s="201"/>
      <c r="F405" s="149" t="str">
        <f t="shared" si="35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6"/>
        <v/>
      </c>
      <c r="C406" s="154"/>
      <c r="D406" s="149" t="str">
        <f t="shared" si="34"/>
        <v/>
      </c>
      <c r="E406" s="201"/>
      <c r="F406" s="149" t="str">
        <f t="shared" si="35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6"/>
        <v/>
      </c>
      <c r="C407" s="154"/>
      <c r="D407" s="149" t="str">
        <f t="shared" si="34"/>
        <v/>
      </c>
      <c r="E407" s="201"/>
      <c r="F407" s="149" t="str">
        <f t="shared" si="35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6"/>
        <v/>
      </c>
      <c r="C408" s="154"/>
      <c r="D408" s="149" t="str">
        <f t="shared" si="34"/>
        <v/>
      </c>
      <c r="E408" s="201"/>
      <c r="F408" s="149" t="str">
        <f t="shared" si="35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6"/>
        <v/>
      </c>
      <c r="C409" s="154"/>
      <c r="D409" s="149" t="str">
        <f t="shared" si="34"/>
        <v/>
      </c>
      <c r="E409" s="201"/>
      <c r="F409" s="149" t="str">
        <f t="shared" si="35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6"/>
        <v/>
      </c>
      <c r="C410" s="154"/>
      <c r="D410" s="149" t="str">
        <f t="shared" si="34"/>
        <v/>
      </c>
      <c r="E410" s="201"/>
      <c r="F410" s="149" t="str">
        <f t="shared" si="35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6"/>
        <v/>
      </c>
      <c r="C411" s="154"/>
      <c r="D411" s="149" t="str">
        <f t="shared" si="34"/>
        <v/>
      </c>
      <c r="E411" s="201"/>
      <c r="F411" s="149" t="str">
        <f t="shared" si="35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6"/>
        <v/>
      </c>
      <c r="C412" s="154"/>
      <c r="D412" s="149" t="str">
        <f t="shared" si="34"/>
        <v/>
      </c>
      <c r="E412" s="201"/>
      <c r="F412" s="149" t="str">
        <f t="shared" si="35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6"/>
        <v/>
      </c>
      <c r="C413" s="154"/>
      <c r="D413" s="149" t="str">
        <f t="shared" si="34"/>
        <v/>
      </c>
      <c r="E413" s="201"/>
      <c r="F413" s="149" t="str">
        <f t="shared" si="35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6"/>
        <v/>
      </c>
      <c r="C414" s="154"/>
      <c r="D414" s="149" t="str">
        <f t="shared" si="34"/>
        <v/>
      </c>
      <c r="E414" s="201"/>
      <c r="F414" s="149" t="str">
        <f t="shared" si="35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6"/>
        <v/>
      </c>
      <c r="C415" s="154"/>
      <c r="D415" s="149" t="str">
        <f t="shared" si="34"/>
        <v/>
      </c>
      <c r="E415" s="201"/>
      <c r="F415" s="149" t="str">
        <f t="shared" si="35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6"/>
        <v/>
      </c>
      <c r="C416" s="154"/>
      <c r="D416" s="149" t="str">
        <f t="shared" si="34"/>
        <v/>
      </c>
      <c r="E416" s="201"/>
      <c r="F416" s="149" t="str">
        <f t="shared" si="35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6"/>
        <v/>
      </c>
      <c r="C417" s="154"/>
      <c r="D417" s="149" t="str">
        <f t="shared" si="34"/>
        <v/>
      </c>
      <c r="E417" s="201"/>
      <c r="F417" s="149" t="str">
        <f t="shared" si="35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6"/>
        <v/>
      </c>
      <c r="C418" s="154"/>
      <c r="D418" s="149" t="str">
        <f t="shared" si="34"/>
        <v/>
      </c>
      <c r="E418" s="201"/>
      <c r="F418" s="149" t="str">
        <f t="shared" si="35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6"/>
        <v/>
      </c>
      <c r="C419" s="154"/>
      <c r="D419" s="149" t="str">
        <f t="shared" si="34"/>
        <v/>
      </c>
      <c r="E419" s="201"/>
      <c r="F419" s="149" t="str">
        <f t="shared" si="35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6"/>
        <v/>
      </c>
      <c r="C420" s="154"/>
      <c r="D420" s="149" t="str">
        <f t="shared" si="34"/>
        <v/>
      </c>
      <c r="E420" s="201"/>
      <c r="F420" s="149" t="str">
        <f t="shared" si="35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6"/>
        <v/>
      </c>
      <c r="C421" s="154"/>
      <c r="D421" s="149" t="str">
        <f t="shared" si="34"/>
        <v/>
      </c>
      <c r="E421" s="201"/>
      <c r="F421" s="149" t="str">
        <f t="shared" si="35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6"/>
        <v/>
      </c>
      <c r="C422" s="154"/>
      <c r="D422" s="149" t="str">
        <f t="shared" si="34"/>
        <v/>
      </c>
      <c r="E422" s="201"/>
      <c r="F422" s="149" t="str">
        <f t="shared" si="35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6"/>
        <v/>
      </c>
      <c r="C423" s="154"/>
      <c r="D423" s="149" t="str">
        <f t="shared" si="34"/>
        <v/>
      </c>
      <c r="E423" s="201"/>
      <c r="F423" s="149" t="str">
        <f t="shared" si="35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6"/>
        <v/>
      </c>
      <c r="C424" s="154"/>
      <c r="D424" s="149" t="str">
        <f t="shared" si="34"/>
        <v/>
      </c>
      <c r="E424" s="201"/>
      <c r="F424" s="149" t="str">
        <f t="shared" si="35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6"/>
        <v/>
      </c>
      <c r="C425" s="154"/>
      <c r="D425" s="149" t="str">
        <f t="shared" si="34"/>
        <v/>
      </c>
      <c r="E425" s="201"/>
      <c r="F425" s="149" t="str">
        <f t="shared" si="35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6"/>
        <v/>
      </c>
      <c r="C426" s="154"/>
      <c r="D426" s="149" t="str">
        <f t="shared" si="34"/>
        <v/>
      </c>
      <c r="E426" s="201"/>
      <c r="F426" s="149" t="str">
        <f t="shared" si="35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6"/>
        <v/>
      </c>
      <c r="C427" s="154"/>
      <c r="D427" s="149" t="str">
        <f t="shared" si="34"/>
        <v/>
      </c>
      <c r="E427" s="201"/>
      <c r="F427" s="149" t="str">
        <f t="shared" si="35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6"/>
        <v/>
      </c>
      <c r="C428" s="154"/>
      <c r="D428" s="149" t="str">
        <f t="shared" si="34"/>
        <v/>
      </c>
      <c r="E428" s="201"/>
      <c r="F428" s="149" t="str">
        <f t="shared" si="35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6"/>
        <v/>
      </c>
      <c r="C429" s="154"/>
      <c r="D429" s="149" t="str">
        <f t="shared" si="34"/>
        <v/>
      </c>
      <c r="E429" s="201"/>
      <c r="F429" s="149" t="str">
        <f t="shared" si="35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6"/>
        <v/>
      </c>
      <c r="C430" s="154"/>
      <c r="D430" s="149" t="str">
        <f t="shared" si="34"/>
        <v/>
      </c>
      <c r="E430" s="201"/>
      <c r="F430" s="149" t="str">
        <f t="shared" si="35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6"/>
        <v/>
      </c>
      <c r="C431" s="154"/>
      <c r="D431" s="149" t="str">
        <f t="shared" si="34"/>
        <v/>
      </c>
      <c r="E431" s="201"/>
      <c r="F431" s="149" t="str">
        <f t="shared" si="35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6"/>
        <v/>
      </c>
      <c r="C432" s="154"/>
      <c r="D432" s="149" t="str">
        <f t="shared" si="34"/>
        <v/>
      </c>
      <c r="E432" s="201"/>
      <c r="F432" s="149" t="str">
        <f t="shared" si="35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6"/>
        <v/>
      </c>
      <c r="C433" s="154"/>
      <c r="D433" s="149" t="str">
        <f t="shared" si="34"/>
        <v/>
      </c>
      <c r="E433" s="201"/>
      <c r="F433" s="149" t="str">
        <f t="shared" si="35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6"/>
        <v/>
      </c>
      <c r="C434" s="154"/>
      <c r="D434" s="149" t="str">
        <f t="shared" si="34"/>
        <v/>
      </c>
      <c r="E434" s="201"/>
      <c r="F434" s="149" t="str">
        <f t="shared" si="35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6"/>
        <v/>
      </c>
      <c r="C435" s="154"/>
      <c r="D435" s="149" t="str">
        <f t="shared" si="34"/>
        <v/>
      </c>
      <c r="E435" s="201"/>
      <c r="F435" s="149" t="str">
        <f t="shared" si="35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6"/>
        <v/>
      </c>
      <c r="C436" s="154"/>
      <c r="D436" s="149" t="str">
        <f t="shared" si="34"/>
        <v/>
      </c>
      <c r="E436" s="201"/>
      <c r="F436" s="149" t="str">
        <f t="shared" si="35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6"/>
        <v/>
      </c>
      <c r="C437" s="154"/>
      <c r="D437" s="149" t="str">
        <f t="shared" si="34"/>
        <v/>
      </c>
      <c r="E437" s="201"/>
      <c r="F437" s="149" t="str">
        <f t="shared" si="35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6"/>
        <v/>
      </c>
      <c r="C438" s="154"/>
      <c r="D438" s="149" t="str">
        <f t="shared" si="34"/>
        <v/>
      </c>
      <c r="E438" s="201"/>
      <c r="F438" s="149" t="str">
        <f t="shared" si="35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6"/>
        <v/>
      </c>
      <c r="C439" s="154"/>
      <c r="D439" s="149" t="str">
        <f t="shared" si="34"/>
        <v/>
      </c>
      <c r="E439" s="201"/>
      <c r="F439" s="149" t="str">
        <f t="shared" si="35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6"/>
        <v/>
      </c>
      <c r="C440" s="154"/>
      <c r="D440" s="149" t="str">
        <f t="shared" si="34"/>
        <v/>
      </c>
      <c r="E440" s="201"/>
      <c r="F440" s="149" t="str">
        <f t="shared" si="35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6"/>
        <v/>
      </c>
      <c r="C441" s="154"/>
      <c r="D441" s="149" t="str">
        <f t="shared" si="34"/>
        <v/>
      </c>
      <c r="E441" s="201"/>
      <c r="F441" s="149" t="str">
        <f t="shared" si="35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6"/>
        <v/>
      </c>
      <c r="C442" s="154"/>
      <c r="D442" s="149" t="str">
        <f t="shared" si="34"/>
        <v/>
      </c>
      <c r="E442" s="201"/>
      <c r="F442" s="149" t="str">
        <f t="shared" si="35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6"/>
        <v/>
      </c>
      <c r="C443" s="154"/>
      <c r="D443" s="149" t="str">
        <f t="shared" si="34"/>
        <v/>
      </c>
      <c r="E443" s="201"/>
      <c r="F443" s="149" t="str">
        <f t="shared" si="35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6"/>
        <v/>
      </c>
      <c r="C444" s="154"/>
      <c r="D444" s="149" t="str">
        <f t="shared" si="34"/>
        <v/>
      </c>
      <c r="E444" s="201"/>
      <c r="F444" s="149" t="str">
        <f t="shared" si="35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6"/>
        <v/>
      </c>
      <c r="C445" s="154"/>
      <c r="D445" s="149" t="str">
        <f t="shared" si="34"/>
        <v/>
      </c>
      <c r="E445" s="201"/>
      <c r="F445" s="149" t="str">
        <f t="shared" si="35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6"/>
        <v/>
      </c>
      <c r="C446" s="154"/>
      <c r="D446" s="149" t="str">
        <f t="shared" si="34"/>
        <v/>
      </c>
      <c r="E446" s="201"/>
      <c r="F446" s="149" t="str">
        <f t="shared" si="35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6"/>
        <v/>
      </c>
      <c r="C447" s="154"/>
      <c r="D447" s="149" t="str">
        <f t="shared" si="34"/>
        <v/>
      </c>
      <c r="E447" s="201"/>
      <c r="F447" s="149" t="str">
        <f t="shared" si="35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6"/>
        <v/>
      </c>
      <c r="C448" s="154"/>
      <c r="D448" s="149" t="str">
        <f t="shared" si="34"/>
        <v/>
      </c>
      <c r="E448" s="201"/>
      <c r="F448" s="149" t="str">
        <f t="shared" si="35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6"/>
        <v/>
      </c>
      <c r="C449" s="154"/>
      <c r="D449" s="149" t="str">
        <f t="shared" si="34"/>
        <v/>
      </c>
      <c r="E449" s="201"/>
      <c r="F449" s="149" t="str">
        <f t="shared" si="35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6"/>
        <v/>
      </c>
      <c r="C450" s="154"/>
      <c r="D450" s="149" t="str">
        <f t="shared" si="34"/>
        <v/>
      </c>
      <c r="E450" s="201"/>
      <c r="F450" s="149" t="str">
        <f t="shared" si="35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6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ref="F451:F501" si="40">IFERROR(VLOOKUP(E451,$AA$6:$AB$200,2,FALSE),"")</f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1">IFERROR(VLOOKUP(A452,$R$6:$S$18,2,FALSE),"")</f>
        <v/>
      </c>
      <c r="C452" s="154"/>
      <c r="D452" s="149" t="str">
        <f t="shared" si="39"/>
        <v/>
      </c>
      <c r="E452" s="201"/>
      <c r="F452" s="149" t="str">
        <f t="shared" si="40"/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1"/>
        <v/>
      </c>
      <c r="C453" s="154"/>
      <c r="D453" s="149" t="str">
        <f t="shared" si="39"/>
        <v/>
      </c>
      <c r="E453" s="201"/>
      <c r="F453" s="149" t="str">
        <f t="shared" si="40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1"/>
        <v/>
      </c>
      <c r="C454" s="154"/>
      <c r="D454" s="149" t="str">
        <f t="shared" si="39"/>
        <v/>
      </c>
      <c r="E454" s="201"/>
      <c r="F454" s="149" t="str">
        <f t="shared" si="40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1"/>
        <v/>
      </c>
      <c r="C455" s="154"/>
      <c r="D455" s="149" t="str">
        <f t="shared" si="39"/>
        <v/>
      </c>
      <c r="E455" s="201"/>
      <c r="F455" s="149" t="str">
        <f t="shared" si="40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1"/>
        <v/>
      </c>
      <c r="C456" s="154"/>
      <c r="D456" s="149" t="str">
        <f t="shared" si="39"/>
        <v/>
      </c>
      <c r="E456" s="201"/>
      <c r="F456" s="149" t="str">
        <f t="shared" si="40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1"/>
        <v/>
      </c>
      <c r="C457" s="154"/>
      <c r="D457" s="149" t="str">
        <f t="shared" si="39"/>
        <v/>
      </c>
      <c r="E457" s="201"/>
      <c r="F457" s="149" t="str">
        <f t="shared" si="40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1"/>
        <v/>
      </c>
      <c r="C458" s="154"/>
      <c r="D458" s="149" t="str">
        <f t="shared" si="39"/>
        <v/>
      </c>
      <c r="E458" s="201"/>
      <c r="F458" s="149" t="str">
        <f t="shared" si="40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1"/>
        <v/>
      </c>
      <c r="C459" s="154"/>
      <c r="D459" s="149" t="str">
        <f t="shared" si="39"/>
        <v/>
      </c>
      <c r="E459" s="201"/>
      <c r="F459" s="149" t="str">
        <f t="shared" si="40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1"/>
        <v/>
      </c>
      <c r="C460" s="154"/>
      <c r="D460" s="149" t="str">
        <f t="shared" si="39"/>
        <v/>
      </c>
      <c r="E460" s="201"/>
      <c r="F460" s="149" t="str">
        <f t="shared" si="40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1"/>
        <v/>
      </c>
      <c r="C461" s="154"/>
      <c r="D461" s="149" t="str">
        <f t="shared" si="39"/>
        <v/>
      </c>
      <c r="E461" s="201"/>
      <c r="F461" s="149" t="str">
        <f t="shared" si="40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1"/>
        <v/>
      </c>
      <c r="C462" s="154"/>
      <c r="D462" s="149" t="str">
        <f t="shared" si="39"/>
        <v/>
      </c>
      <c r="E462" s="201"/>
      <c r="F462" s="149" t="str">
        <f t="shared" si="40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1"/>
        <v/>
      </c>
      <c r="C463" s="154"/>
      <c r="D463" s="149" t="str">
        <f t="shared" si="39"/>
        <v/>
      </c>
      <c r="E463" s="201"/>
      <c r="F463" s="149" t="str">
        <f t="shared" si="40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1"/>
        <v/>
      </c>
      <c r="C464" s="154"/>
      <c r="D464" s="149" t="str">
        <f t="shared" si="39"/>
        <v/>
      </c>
      <c r="E464" s="201"/>
      <c r="F464" s="149" t="str">
        <f t="shared" si="40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1"/>
        <v/>
      </c>
      <c r="C465" s="154"/>
      <c r="D465" s="149" t="str">
        <f t="shared" si="39"/>
        <v/>
      </c>
      <c r="E465" s="201"/>
      <c r="F465" s="149" t="str">
        <f t="shared" si="40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1"/>
        <v/>
      </c>
      <c r="C466" s="154"/>
      <c r="D466" s="149" t="str">
        <f t="shared" si="39"/>
        <v/>
      </c>
      <c r="E466" s="201"/>
      <c r="F466" s="149" t="str">
        <f t="shared" si="40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1"/>
        <v/>
      </c>
      <c r="C467" s="154"/>
      <c r="D467" s="149" t="str">
        <f t="shared" si="39"/>
        <v/>
      </c>
      <c r="E467" s="201"/>
      <c r="F467" s="149" t="str">
        <f t="shared" si="40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1"/>
        <v/>
      </c>
      <c r="C468" s="154"/>
      <c r="D468" s="149" t="str">
        <f t="shared" si="39"/>
        <v/>
      </c>
      <c r="E468" s="201"/>
      <c r="F468" s="149" t="str">
        <f t="shared" si="40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1"/>
        <v/>
      </c>
      <c r="C469" s="154"/>
      <c r="D469" s="149" t="str">
        <f t="shared" si="39"/>
        <v/>
      </c>
      <c r="E469" s="201"/>
      <c r="F469" s="149" t="str">
        <f t="shared" si="40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1"/>
        <v/>
      </c>
      <c r="C470" s="154"/>
      <c r="D470" s="149" t="str">
        <f t="shared" si="39"/>
        <v/>
      </c>
      <c r="E470" s="201"/>
      <c r="F470" s="149" t="str">
        <f t="shared" si="40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1"/>
        <v/>
      </c>
      <c r="C471" s="154"/>
      <c r="D471" s="149" t="str">
        <f t="shared" si="39"/>
        <v/>
      </c>
      <c r="E471" s="201"/>
      <c r="F471" s="149" t="str">
        <f t="shared" si="40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1"/>
        <v/>
      </c>
      <c r="C472" s="154"/>
      <c r="D472" s="149" t="str">
        <f t="shared" si="39"/>
        <v/>
      </c>
      <c r="E472" s="201"/>
      <c r="F472" s="149" t="str">
        <f t="shared" si="40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1"/>
        <v/>
      </c>
      <c r="C473" s="154"/>
      <c r="D473" s="149" t="str">
        <f t="shared" si="39"/>
        <v/>
      </c>
      <c r="E473" s="201"/>
      <c r="F473" s="149" t="str">
        <f t="shared" si="40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1"/>
        <v/>
      </c>
      <c r="C474" s="154"/>
      <c r="D474" s="149" t="str">
        <f t="shared" si="39"/>
        <v/>
      </c>
      <c r="E474" s="201"/>
      <c r="F474" s="149" t="str">
        <f t="shared" si="40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1"/>
        <v/>
      </c>
      <c r="C475" s="154"/>
      <c r="D475" s="149" t="str">
        <f t="shared" si="39"/>
        <v/>
      </c>
      <c r="E475" s="201"/>
      <c r="F475" s="149" t="str">
        <f t="shared" si="40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1"/>
        <v/>
      </c>
      <c r="C476" s="154"/>
      <c r="D476" s="149" t="str">
        <f t="shared" si="39"/>
        <v/>
      </c>
      <c r="E476" s="201"/>
      <c r="F476" s="149" t="str">
        <f t="shared" si="40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1"/>
        <v/>
      </c>
      <c r="C477" s="154"/>
      <c r="D477" s="149" t="str">
        <f t="shared" si="39"/>
        <v/>
      </c>
      <c r="E477" s="201"/>
      <c r="F477" s="149" t="str">
        <f t="shared" si="40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1"/>
        <v/>
      </c>
      <c r="C478" s="154"/>
      <c r="D478" s="149" t="str">
        <f t="shared" si="39"/>
        <v/>
      </c>
      <c r="E478" s="201"/>
      <c r="F478" s="149" t="str">
        <f t="shared" si="40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1"/>
        <v/>
      </c>
      <c r="C479" s="154"/>
      <c r="D479" s="149" t="str">
        <f t="shared" si="39"/>
        <v/>
      </c>
      <c r="E479" s="201"/>
      <c r="F479" s="149" t="str">
        <f t="shared" si="40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1"/>
        <v/>
      </c>
      <c r="C480" s="154"/>
      <c r="D480" s="149" t="str">
        <f t="shared" si="39"/>
        <v/>
      </c>
      <c r="E480" s="201"/>
      <c r="F480" s="149" t="str">
        <f t="shared" si="40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1"/>
        <v/>
      </c>
      <c r="C481" s="154"/>
      <c r="D481" s="149" t="str">
        <f t="shared" si="39"/>
        <v/>
      </c>
      <c r="E481" s="201"/>
      <c r="F481" s="149" t="str">
        <f t="shared" si="40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1"/>
        <v/>
      </c>
      <c r="C482" s="154"/>
      <c r="D482" s="149" t="str">
        <f t="shared" si="39"/>
        <v/>
      </c>
      <c r="E482" s="201"/>
      <c r="F482" s="149" t="str">
        <f t="shared" si="40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1"/>
        <v/>
      </c>
      <c r="C483" s="154"/>
      <c r="D483" s="149" t="str">
        <f t="shared" si="39"/>
        <v/>
      </c>
      <c r="E483" s="201"/>
      <c r="F483" s="149" t="str">
        <f t="shared" si="40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1"/>
        <v/>
      </c>
      <c r="C484" s="154"/>
      <c r="D484" s="149" t="str">
        <f t="shared" si="39"/>
        <v/>
      </c>
      <c r="E484" s="201"/>
      <c r="F484" s="149" t="str">
        <f t="shared" si="40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1"/>
        <v/>
      </c>
      <c r="C485" s="154"/>
      <c r="D485" s="149" t="str">
        <f t="shared" si="39"/>
        <v/>
      </c>
      <c r="E485" s="201"/>
      <c r="F485" s="149" t="str">
        <f t="shared" si="40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1"/>
        <v/>
      </c>
      <c r="C486" s="154"/>
      <c r="D486" s="149" t="str">
        <f t="shared" si="39"/>
        <v/>
      </c>
      <c r="E486" s="201"/>
      <c r="F486" s="149" t="str">
        <f t="shared" si="40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1"/>
        <v/>
      </c>
      <c r="C487" s="154"/>
      <c r="D487" s="149" t="str">
        <f t="shared" si="39"/>
        <v/>
      </c>
      <c r="E487" s="201"/>
      <c r="F487" s="149" t="str">
        <f t="shared" si="40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1"/>
        <v/>
      </c>
      <c r="C488" s="154"/>
      <c r="D488" s="149" t="str">
        <f t="shared" si="39"/>
        <v/>
      </c>
      <c r="E488" s="201"/>
      <c r="F488" s="149" t="str">
        <f t="shared" si="40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1"/>
        <v/>
      </c>
      <c r="C489" s="154"/>
      <c r="D489" s="149" t="str">
        <f t="shared" si="39"/>
        <v/>
      </c>
      <c r="E489" s="201"/>
      <c r="F489" s="149" t="str">
        <f t="shared" si="40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1"/>
        <v/>
      </c>
      <c r="C490" s="154"/>
      <c r="D490" s="149" t="str">
        <f t="shared" si="39"/>
        <v/>
      </c>
      <c r="E490" s="201"/>
      <c r="F490" s="149" t="str">
        <f t="shared" si="40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1"/>
        <v/>
      </c>
      <c r="C491" s="154"/>
      <c r="D491" s="149" t="str">
        <f t="shared" si="39"/>
        <v/>
      </c>
      <c r="E491" s="201"/>
      <c r="F491" s="149" t="str">
        <f t="shared" si="40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1"/>
        <v/>
      </c>
      <c r="C492" s="154"/>
      <c r="D492" s="149" t="str">
        <f t="shared" si="39"/>
        <v/>
      </c>
      <c r="E492" s="201"/>
      <c r="F492" s="149" t="str">
        <f t="shared" si="40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1"/>
        <v/>
      </c>
      <c r="C493" s="154"/>
      <c r="D493" s="149" t="str">
        <f t="shared" si="39"/>
        <v/>
      </c>
      <c r="E493" s="201"/>
      <c r="F493" s="149" t="str">
        <f t="shared" si="40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1"/>
        <v/>
      </c>
      <c r="C494" s="154"/>
      <c r="D494" s="149" t="str">
        <f t="shared" si="39"/>
        <v/>
      </c>
      <c r="E494" s="201"/>
      <c r="F494" s="149" t="str">
        <f t="shared" si="40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1"/>
        <v/>
      </c>
      <c r="C495" s="154"/>
      <c r="D495" s="149" t="str">
        <f t="shared" si="39"/>
        <v/>
      </c>
      <c r="E495" s="201"/>
      <c r="F495" s="149" t="str">
        <f t="shared" si="40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1"/>
        <v/>
      </c>
      <c r="C496" s="154"/>
      <c r="D496" s="149" t="str">
        <f t="shared" si="39"/>
        <v/>
      </c>
      <c r="E496" s="201"/>
      <c r="F496" s="149" t="str">
        <f t="shared" si="40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1"/>
        <v/>
      </c>
      <c r="C497" s="154"/>
      <c r="D497" s="149" t="str">
        <f t="shared" si="39"/>
        <v/>
      </c>
      <c r="E497" s="201"/>
      <c r="F497" s="149" t="str">
        <f t="shared" si="40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1"/>
        <v/>
      </c>
      <c r="C498" s="154"/>
      <c r="D498" s="149" t="str">
        <f t="shared" si="39"/>
        <v/>
      </c>
      <c r="E498" s="201"/>
      <c r="F498" s="149" t="str">
        <f t="shared" si="40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1"/>
        <v/>
      </c>
      <c r="C499" s="154"/>
      <c r="D499" s="149" t="str">
        <f t="shared" si="39"/>
        <v/>
      </c>
      <c r="E499" s="201"/>
      <c r="F499" s="149" t="str">
        <f t="shared" si="40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1"/>
        <v/>
      </c>
      <c r="C500" s="154"/>
      <c r="D500" s="149" t="str">
        <f t="shared" si="39"/>
        <v/>
      </c>
      <c r="E500" s="201"/>
      <c r="F500" s="149" t="str">
        <f t="shared" si="40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1"/>
        <v/>
      </c>
      <c r="C501" s="154"/>
      <c r="D501" s="149" t="str">
        <f t="shared" si="39"/>
        <v/>
      </c>
      <c r="E501" s="201"/>
      <c r="F501" s="149" t="str">
        <f t="shared" si="40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  <row r="503" spans="1:17"/>
    <row r="504" spans="1:17"/>
  </sheetData>
  <sheetProtection selectLockedCells="1"/>
  <mergeCells count="1">
    <mergeCell ref="A1:B1"/>
  </mergeCells>
  <dataValidations count="4">
    <dataValidation type="whole" allowBlank="1" showInputMessage="1" showErrorMessage="1" errorTitle="GREŠKA" error="U ovo polje je dozvoljen unos samo brojčanih vrijednosti (bez decimala!)" sqref="G3:I47 G48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list" allowBlank="1" showInputMessage="1" showErrorMessage="1" errorTitle="GREŠKA" error="Za unos odaberite vrijednost iz padajućeg izbornika!" prompt="Molimo odaberite vrijednost iz padajućeg izbornika!" sqref="A3:A47 A48:A501">
      <formula1>$R$6:$R$18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34" workbookViewId="0">
      <selection activeCell="B46" sqref="B46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97" workbookViewId="0">
      <selection activeCell="B130" sqref="B130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 Bačić</cp:lastModifiedBy>
  <cp:lastPrinted>2018-09-13T07:01:06Z</cp:lastPrinted>
  <dcterms:created xsi:type="dcterms:W3CDTF">2018-09-10T07:36:17Z</dcterms:created>
  <dcterms:modified xsi:type="dcterms:W3CDTF">2019-12-09T13:11:10Z</dcterms:modified>
</cp:coreProperties>
</file>